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hreadedComments/threadedComment2.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mc:AlternateContent xmlns:mc="http://schemas.openxmlformats.org/markup-compatibility/2006">
    <mc:Choice Requires="x15">
      <x15ac:absPath xmlns:x15ac="http://schemas.microsoft.com/office/spreadsheetml/2010/11/ac" url="/Users/mac/Desktop/Subsidy/"/>
    </mc:Choice>
  </mc:AlternateContent>
  <xr:revisionPtr revIDLastSave="0" documentId="8_{C6185D0A-D81F-4C42-94DA-6F84656D2798}" xr6:coauthVersionLast="47" xr6:coauthVersionMax="47" xr10:uidLastSave="{00000000-0000-0000-0000-000000000000}"/>
  <bookViews>
    <workbookView xWindow="0" yWindow="720" windowWidth="30040" windowHeight="17440" firstSheet="1" activeTab="2" xr2:uid="{00000000-000D-0000-FFFF-FFFF00000000}"/>
  </bookViews>
  <sheets>
    <sheet name="Reform FAQs" sheetId="1" state="hidden" r:id="rId1"/>
    <sheet name="Publication" sheetId="25" r:id="rId2"/>
    <sheet name="Receipts &amp; Utilisation" sheetId="13" r:id="rId3"/>
    <sheet name="FAAC" sheetId="24" r:id="rId4"/>
    <sheet name="IGR" sheetId="27" r:id="rId5"/>
    <sheet name="Debt" sheetId="14" r:id="rId6"/>
    <sheet name="Expenses" sheetId="20" r:id="rId7"/>
    <sheet name="Electricity subsidy" sheetId="15" r:id="rId8"/>
    <sheet name="Infrastructure" sheetId="19" r:id="rId9"/>
    <sheet name="Counterfactual" sheetId="26" r:id="rId10"/>
    <sheet name="Notes" sheetId="29" r:id="rId11"/>
    <sheet name="2025" sheetId="5" state="hidden" r:id="rId12"/>
    <sheet name="2024" sheetId="6" state="hidden" r:id="rId13"/>
    <sheet name="2023" sheetId="7" state="hidden" r:id="rId14"/>
    <sheet name="2022" sheetId="8" state="hidden" r:id="rId15"/>
    <sheet name="Analysis" sheetId="2" state="hidden" r:id="rId16"/>
    <sheet name="Summary" sheetId="3" state="hidden" r:id="rId17"/>
    <sheet name="Total FAAC" sheetId="4" state="hidden" r:id="rId18"/>
    <sheet name="Impact of Devaluation" sheetId="23" state="hidden" r:id="rId19"/>
    <sheet name="Transfers" sheetId="16" state="hidden" r:id="rId20"/>
    <sheet name="Wage Adjustment" sheetId="18" state="hidden" r:id="rId21"/>
    <sheet name="NELFUnd" sheetId="17" state="hidden" r:id="rId22"/>
    <sheet name="2023 ext borrowing" sheetId="10" state="hidden" r:id="rId23"/>
    <sheet name="2024 debt plan" sheetId="11" state="hidden" r:id="rId24"/>
    <sheet name="2025 debt plan" sheetId="12" state="hidden" r:id="rId25"/>
    <sheet name="Monthly Ave" sheetId="9" state="hidden" r:id="rId26"/>
  </sheets>
  <externalReferences>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s>
  <definedNames>
    <definedName name="_xlnm.Print_Area" localSheetId="14">'2022'!$A$1:$T$40</definedName>
    <definedName name="_xlnm.Print_Area" localSheetId="13">'2023'!$A$1:$T$40</definedName>
    <definedName name="_xlnm.Print_Area" localSheetId="12">'2024'!$A$1:$T$40</definedName>
    <definedName name="_xlnm.Print_Area" localSheetId="11">'2025'!$A$1:$T$40</definedName>
    <definedName name="_xlnm.Print_Area" localSheetId="18">'Impact of Devaluation'!$A$1:$E$14</definedName>
    <definedName name="_xlnm.Print_Area" localSheetId="8">Infrastructure!$A$32:$J$101</definedName>
    <definedName name="_xlnm.Print_Area" localSheetId="20">'Wage Adjustment'!$A$1:$O$16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9" l="1"/>
  <c r="R77" i="14"/>
  <c r="P77" i="14"/>
  <c r="N77" i="14"/>
  <c r="L77" i="14"/>
  <c r="E55" i="14" s="1"/>
  <c r="J77" i="14"/>
  <c r="D55" i="14" s="1"/>
  <c r="H77" i="14"/>
  <c r="C55" i="14" s="1"/>
  <c r="F77" i="14"/>
  <c r="D84" i="14"/>
  <c r="R81" i="14"/>
  <c r="R84" i="14" s="1"/>
  <c r="Q81" i="14"/>
  <c r="Q84" i="14" s="1"/>
  <c r="P81" i="14"/>
  <c r="P84" i="14" s="1"/>
  <c r="O81" i="14"/>
  <c r="O84" i="14" s="1"/>
  <c r="N81" i="14"/>
  <c r="N84" i="14" s="1"/>
  <c r="M81" i="14"/>
  <c r="M84" i="14" s="1"/>
  <c r="L81" i="14"/>
  <c r="L84" i="14" s="1"/>
  <c r="K81" i="14"/>
  <c r="K84" i="14" s="1"/>
  <c r="J81" i="14"/>
  <c r="J84" i="14" s="1"/>
  <c r="I81" i="14"/>
  <c r="I84" i="14" s="1"/>
  <c r="H81" i="14"/>
  <c r="H84" i="14" s="1"/>
  <c r="G81" i="14"/>
  <c r="G84" i="14" s="1"/>
  <c r="F81" i="14"/>
  <c r="F84" i="14" s="1"/>
  <c r="E81" i="14"/>
  <c r="E84" i="14" s="1"/>
  <c r="D81" i="14"/>
  <c r="C81" i="14"/>
  <c r="C84" i="14" s="1"/>
  <c r="G59" i="13" l="1"/>
  <c r="D6" i="19" l="1"/>
  <c r="D30" i="19" s="1"/>
  <c r="F19" i="14"/>
  <c r="E19" i="14"/>
  <c r="D19" i="14"/>
  <c r="C19" i="14"/>
  <c r="E18" i="14"/>
  <c r="D18" i="14"/>
  <c r="C18" i="14"/>
  <c r="D21" i="25"/>
  <c r="D20" i="25"/>
  <c r="F55" i="14"/>
  <c r="I52" i="13"/>
  <c r="H52" i="13"/>
  <c r="G52" i="13"/>
  <c r="F52" i="13"/>
  <c r="I22" i="13"/>
  <c r="H22" i="13"/>
  <c r="G22" i="13"/>
  <c r="F22" i="13"/>
  <c r="J52" i="13"/>
  <c r="K6" i="27"/>
  <c r="K7" i="27"/>
  <c r="K8" i="27"/>
  <c r="K9" i="27"/>
  <c r="J9" i="27"/>
  <c r="I9" i="27"/>
  <c r="H9" i="27"/>
  <c r="J8" i="27"/>
  <c r="I8" i="27"/>
  <c r="H8" i="27"/>
  <c r="J6" i="27"/>
  <c r="J5" i="27"/>
  <c r="I6" i="27"/>
  <c r="I5" i="27"/>
  <c r="I7" i="27" s="1"/>
  <c r="H5" i="27"/>
  <c r="E5" i="27"/>
  <c r="D6" i="27"/>
  <c r="D5" i="27"/>
  <c r="P124" i="27"/>
  <c r="O123" i="27"/>
  <c r="O125" i="27" s="1"/>
  <c r="N123" i="27"/>
  <c r="N125" i="27" s="1"/>
  <c r="M123" i="27"/>
  <c r="M125" i="27" s="1"/>
  <c r="L123" i="27"/>
  <c r="L125" i="27" s="1"/>
  <c r="K123" i="27"/>
  <c r="K125" i="27" s="1"/>
  <c r="J123" i="27"/>
  <c r="J125" i="27" s="1"/>
  <c r="I123" i="27"/>
  <c r="I125" i="27" s="1"/>
  <c r="H123" i="27"/>
  <c r="H125" i="27" s="1"/>
  <c r="G123" i="27"/>
  <c r="G125" i="27" s="1"/>
  <c r="F123" i="27"/>
  <c r="F125" i="27" s="1"/>
  <c r="E123" i="27"/>
  <c r="E125" i="27" s="1"/>
  <c r="D123" i="27"/>
  <c r="D125" i="27" s="1"/>
  <c r="P122" i="27"/>
  <c r="P121" i="27"/>
  <c r="P120" i="27"/>
  <c r="P119" i="27"/>
  <c r="P118" i="27"/>
  <c r="P117" i="27"/>
  <c r="P116" i="27"/>
  <c r="P115" i="27"/>
  <c r="P114" i="27"/>
  <c r="P113" i="27"/>
  <c r="P112" i="27"/>
  <c r="P111" i="27"/>
  <c r="P110" i="27"/>
  <c r="P109" i="27"/>
  <c r="R103" i="27"/>
  <c r="F102" i="27"/>
  <c r="F104" i="27" s="1"/>
  <c r="D101" i="27"/>
  <c r="Q97" i="27"/>
  <c r="Q102" i="27" s="1"/>
  <c r="Q104" i="27" s="1"/>
  <c r="P97" i="27"/>
  <c r="P102" i="27" s="1"/>
  <c r="P104" i="27" s="1"/>
  <c r="O97" i="27"/>
  <c r="O102" i="27" s="1"/>
  <c r="O104" i="27" s="1"/>
  <c r="N97" i="27"/>
  <c r="N102" i="27" s="1"/>
  <c r="N104" i="27" s="1"/>
  <c r="M97" i="27"/>
  <c r="M102" i="27" s="1"/>
  <c r="M104" i="27" s="1"/>
  <c r="L97" i="27"/>
  <c r="J97" i="27"/>
  <c r="J102" i="27" s="1"/>
  <c r="J104" i="27" s="1"/>
  <c r="I97" i="27"/>
  <c r="I102" i="27" s="1"/>
  <c r="I104" i="27" s="1"/>
  <c r="H97" i="27"/>
  <c r="H102" i="27" s="1"/>
  <c r="H104" i="27" s="1"/>
  <c r="G97" i="27"/>
  <c r="G102" i="27" s="1"/>
  <c r="G104" i="27" s="1"/>
  <c r="F97" i="27"/>
  <c r="E97" i="27"/>
  <c r="E102" i="27" s="1"/>
  <c r="E104" i="27" s="1"/>
  <c r="D97" i="27"/>
  <c r="D102" i="27" s="1"/>
  <c r="R96" i="27"/>
  <c r="R95" i="27"/>
  <c r="R94" i="27"/>
  <c r="R93" i="27"/>
  <c r="R92" i="27"/>
  <c r="R91" i="27"/>
  <c r="R90" i="27"/>
  <c r="R89" i="27"/>
  <c r="R88" i="27"/>
  <c r="R87" i="27"/>
  <c r="R86" i="27"/>
  <c r="R85" i="27"/>
  <c r="R84" i="27"/>
  <c r="R83" i="27"/>
  <c r="R82" i="27"/>
  <c r="Q74" i="27"/>
  <c r="F73" i="27"/>
  <c r="F75" i="27" s="1"/>
  <c r="D72" i="27"/>
  <c r="P68" i="27"/>
  <c r="P73" i="27" s="1"/>
  <c r="P75" i="27" s="1"/>
  <c r="O68" i="27"/>
  <c r="O73" i="27" s="1"/>
  <c r="O75" i="27" s="1"/>
  <c r="N68" i="27"/>
  <c r="N73" i="27" s="1"/>
  <c r="N75" i="27" s="1"/>
  <c r="M68" i="27"/>
  <c r="M73" i="27" s="1"/>
  <c r="M75" i="27" s="1"/>
  <c r="L68" i="27"/>
  <c r="L73" i="27" s="1"/>
  <c r="L75" i="27" s="1"/>
  <c r="J68" i="27"/>
  <c r="J73" i="27" s="1"/>
  <c r="J75" i="27" s="1"/>
  <c r="H68" i="27"/>
  <c r="H73" i="27" s="1"/>
  <c r="H75" i="27" s="1"/>
  <c r="G68" i="27"/>
  <c r="G73" i="27" s="1"/>
  <c r="G75" i="27" s="1"/>
  <c r="F68" i="27"/>
  <c r="E68" i="27"/>
  <c r="E73" i="27" s="1"/>
  <c r="E75" i="27" s="1"/>
  <c r="D68" i="27"/>
  <c r="D73" i="27" s="1"/>
  <c r="D75" i="27" s="1"/>
  <c r="Q67" i="27"/>
  <c r="Q66" i="27"/>
  <c r="Q65" i="27"/>
  <c r="Q64" i="27"/>
  <c r="Q63" i="27"/>
  <c r="I62" i="27"/>
  <c r="Q62" i="27" s="1"/>
  <c r="Q61" i="27"/>
  <c r="Q60" i="27"/>
  <c r="Q59" i="27"/>
  <c r="Q58" i="27"/>
  <c r="Q57" i="27"/>
  <c r="Q56" i="27"/>
  <c r="Q55" i="27"/>
  <c r="Q54" i="27"/>
  <c r="Q53" i="27"/>
  <c r="G6" i="27" l="1"/>
  <c r="G7" i="27" s="1"/>
  <c r="H6" i="27"/>
  <c r="I68" i="27"/>
  <c r="I73" i="27" s="1"/>
  <c r="I75" i="27" s="1"/>
  <c r="Q75" i="27" s="1"/>
  <c r="S75" i="27" s="1"/>
  <c r="J7" i="27"/>
  <c r="D7" i="27"/>
  <c r="H7" i="27"/>
  <c r="R97" i="27"/>
  <c r="F6" i="27" s="1"/>
  <c r="F7" i="27" s="1"/>
  <c r="G10" i="27" s="1"/>
  <c r="P123" i="27"/>
  <c r="P125" i="27"/>
  <c r="R102" i="27"/>
  <c r="T102" i="27" s="1"/>
  <c r="D104" i="27"/>
  <c r="R104" i="27" s="1"/>
  <c r="T104" i="27" s="1"/>
  <c r="G9" i="27" l="1"/>
  <c r="Q73" i="27"/>
  <c r="S73" i="27" s="1"/>
  <c r="Q68" i="27"/>
  <c r="E6" i="27" s="1"/>
  <c r="E7" i="27" s="1"/>
  <c r="E10" i="27" s="1"/>
  <c r="E73" i="14"/>
  <c r="E72" i="14"/>
  <c r="E71" i="14"/>
  <c r="E70" i="14"/>
  <c r="E69" i="14"/>
  <c r="E68" i="14"/>
  <c r="E67" i="14"/>
  <c r="E66" i="14"/>
  <c r="E65" i="14"/>
  <c r="E64" i="14"/>
  <c r="E63" i="14"/>
  <c r="E62" i="14"/>
  <c r="F10" i="27" l="1"/>
  <c r="K10" i="27" s="1"/>
  <c r="B5" i="26"/>
  <c r="B6" i="26" s="1"/>
  <c r="B7" i="26" s="1"/>
  <c r="B8" i="26" s="1"/>
  <c r="B9" i="26" s="1"/>
  <c r="B10" i="26" s="1"/>
  <c r="B11" i="26" s="1"/>
  <c r="B12" i="26" s="1"/>
  <c r="B13" i="26" s="1"/>
  <c r="B14" i="26" s="1"/>
  <c r="B15" i="26" s="1"/>
  <c r="B16" i="26" s="1"/>
  <c r="B17" i="26" s="1"/>
  <c r="B18" i="26" s="1"/>
  <c r="B19" i="26" s="1"/>
  <c r="B20" i="26" s="1"/>
  <c r="B21" i="26" s="1"/>
  <c r="B22" i="26" s="1"/>
  <c r="B23" i="26" s="1"/>
  <c r="D113" i="24"/>
  <c r="E113" i="24"/>
  <c r="D114" i="24"/>
  <c r="E114" i="24"/>
  <c r="D115" i="24"/>
  <c r="E115" i="24"/>
  <c r="D116" i="24"/>
  <c r="E116" i="24"/>
  <c r="D117" i="24"/>
  <c r="E117" i="24"/>
  <c r="D118" i="24"/>
  <c r="E118" i="24"/>
  <c r="D119" i="24"/>
  <c r="E119" i="24"/>
  <c r="D120" i="24"/>
  <c r="E120" i="24"/>
  <c r="D43" i="14"/>
  <c r="D44" i="14"/>
  <c r="D45" i="14"/>
  <c r="C56" i="14" s="1"/>
  <c r="C57" i="14" s="1"/>
  <c r="D46" i="14"/>
  <c r="D47" i="14"/>
  <c r="D48" i="14"/>
  <c r="D49" i="14"/>
  <c r="E50" i="14" s="1"/>
  <c r="D50" i="14"/>
  <c r="D56" i="14"/>
  <c r="D57" i="14" s="1"/>
  <c r="E56" i="14"/>
  <c r="E57" i="14" s="1"/>
  <c r="F63" i="13"/>
  <c r="F51" i="13"/>
  <c r="I23" i="13"/>
  <c r="J22" i="13"/>
  <c r="J21" i="13"/>
  <c r="E93" i="24"/>
  <c r="F45" i="13"/>
  <c r="F53" i="13" s="1"/>
  <c r="F31" i="25"/>
  <c r="F32" i="25" s="1"/>
  <c r="F19" i="25"/>
  <c r="F20" i="25" s="1"/>
  <c r="F21" i="25" s="1"/>
  <c r="F22" i="25" s="1"/>
  <c r="F23" i="25" s="1"/>
  <c r="F24" i="25" s="1"/>
  <c r="F25" i="25" s="1"/>
  <c r="F26" i="25" s="1"/>
  <c r="F27" i="25" s="1"/>
  <c r="F7" i="25"/>
  <c r="F8" i="25" s="1"/>
  <c r="F9" i="25" s="1"/>
  <c r="F10" i="25" s="1"/>
  <c r="F11" i="25" s="1"/>
  <c r="F12" i="25" s="1"/>
  <c r="F13" i="25" s="1"/>
  <c r="F14" i="25" s="1"/>
  <c r="F15" i="25" s="1"/>
  <c r="D29" i="20"/>
  <c r="G62" i="13" s="1"/>
  <c r="E29" i="20"/>
  <c r="H62" i="13" s="1"/>
  <c r="F29" i="20"/>
  <c r="I62" i="13" s="1"/>
  <c r="G24" i="20"/>
  <c r="G19" i="20"/>
  <c r="G18" i="20"/>
  <c r="G17" i="20"/>
  <c r="G16" i="20"/>
  <c r="G15" i="20"/>
  <c r="F33" i="14"/>
  <c r="F32" i="14"/>
  <c r="E33" i="14"/>
  <c r="E32" i="14"/>
  <c r="D33" i="14"/>
  <c r="D32" i="14"/>
  <c r="C33" i="14"/>
  <c r="C32" i="14"/>
  <c r="I37" i="13"/>
  <c r="H37" i="13"/>
  <c r="G37" i="13"/>
  <c r="F37" i="13"/>
  <c r="I32" i="13"/>
  <c r="H32" i="13"/>
  <c r="G32" i="13"/>
  <c r="I31" i="13"/>
  <c r="H31" i="13"/>
  <c r="G31" i="13"/>
  <c r="F31" i="13"/>
  <c r="E88" i="24"/>
  <c r="E92" i="24"/>
  <c r="E91" i="24"/>
  <c r="D89" i="24"/>
  <c r="E90" i="24" s="1"/>
  <c r="C79" i="24"/>
  <c r="C59" i="24"/>
  <c r="I30" i="24"/>
  <c r="I29" i="24"/>
  <c r="I28" i="24"/>
  <c r="I27" i="24"/>
  <c r="I26" i="24"/>
  <c r="H37" i="24"/>
  <c r="H36" i="24"/>
  <c r="H35" i="24"/>
  <c r="H34" i="24"/>
  <c r="H33" i="24"/>
  <c r="H32" i="24"/>
  <c r="H31" i="24"/>
  <c r="H30" i="24"/>
  <c r="H29" i="24"/>
  <c r="H28" i="24"/>
  <c r="H27" i="24"/>
  <c r="H26" i="24"/>
  <c r="G37" i="24"/>
  <c r="G36" i="24"/>
  <c r="G35" i="24"/>
  <c r="G34" i="24"/>
  <c r="G33" i="24"/>
  <c r="G32" i="24"/>
  <c r="G30" i="24"/>
  <c r="G31" i="24"/>
  <c r="G29" i="24"/>
  <c r="G28" i="24"/>
  <c r="G27" i="24"/>
  <c r="G26" i="24"/>
  <c r="F37" i="24"/>
  <c r="F36" i="24"/>
  <c r="F35" i="24"/>
  <c r="F34" i="24"/>
  <c r="F33" i="24"/>
  <c r="F32" i="24"/>
  <c r="F31" i="24"/>
  <c r="F30" i="24"/>
  <c r="F29" i="24"/>
  <c r="F28" i="24"/>
  <c r="F27" i="24"/>
  <c r="F26" i="24"/>
  <c r="C39" i="24"/>
  <c r="C19" i="24"/>
  <c r="P41" i="7"/>
  <c r="I37" i="24" s="1"/>
  <c r="O41" i="7"/>
  <c r="I36" i="24" s="1"/>
  <c r="N41" i="7"/>
  <c r="I35" i="24" s="1"/>
  <c r="M41" i="7"/>
  <c r="I34" i="24" s="1"/>
  <c r="L41" i="7"/>
  <c r="I33" i="24" s="1"/>
  <c r="K41" i="7"/>
  <c r="I32" i="24" s="1"/>
  <c r="J41" i="7"/>
  <c r="I31" i="24" s="1"/>
  <c r="I41" i="7"/>
  <c r="H41" i="7"/>
  <c r="G41" i="7"/>
  <c r="F41" i="7"/>
  <c r="E41" i="7"/>
  <c r="P42" i="8"/>
  <c r="O42" i="8"/>
  <c r="N42" i="8"/>
  <c r="M42" i="8"/>
  <c r="L42" i="8"/>
  <c r="I13" i="24" s="1"/>
  <c r="K42" i="8"/>
  <c r="I12" i="24" s="1"/>
  <c r="J42" i="8"/>
  <c r="I11" i="24" s="1"/>
  <c r="I17" i="24"/>
  <c r="I16" i="24"/>
  <c r="I15" i="24"/>
  <c r="I14" i="24"/>
  <c r="H17" i="24"/>
  <c r="H16" i="24"/>
  <c r="H15" i="24"/>
  <c r="H14" i="24"/>
  <c r="H13" i="24"/>
  <c r="H12" i="24"/>
  <c r="H11" i="24"/>
  <c r="G17" i="24"/>
  <c r="G16" i="24"/>
  <c r="G15" i="24"/>
  <c r="G14" i="24"/>
  <c r="G13" i="24"/>
  <c r="G12" i="24"/>
  <c r="G11" i="24"/>
  <c r="F17" i="24"/>
  <c r="F16" i="24"/>
  <c r="F15" i="24"/>
  <c r="F14" i="24"/>
  <c r="F13" i="24"/>
  <c r="F12" i="24"/>
  <c r="F11" i="24"/>
  <c r="E10" i="24"/>
  <c r="E9" i="24"/>
  <c r="E8" i="24"/>
  <c r="E7" i="24"/>
  <c r="E6" i="24"/>
  <c r="D17" i="24"/>
  <c r="D16" i="24"/>
  <c r="D15" i="24"/>
  <c r="D14" i="24"/>
  <c r="D13" i="24"/>
  <c r="D12" i="24"/>
  <c r="D11" i="24"/>
  <c r="B5" i="23"/>
  <c r="C5" i="23"/>
  <c r="D5" i="23"/>
  <c r="E5" i="23"/>
  <c r="B7" i="23"/>
  <c r="C7" i="23"/>
  <c r="D7" i="23"/>
  <c r="E7" i="23"/>
  <c r="E10" i="23" s="1"/>
  <c r="B10" i="23"/>
  <c r="C10" i="23"/>
  <c r="D10" i="23"/>
  <c r="B14" i="23"/>
  <c r="C14" i="23"/>
  <c r="D14" i="23"/>
  <c r="E14" i="23"/>
  <c r="F24" i="14"/>
  <c r="E24" i="14"/>
  <c r="D24" i="14"/>
  <c r="C24" i="14"/>
  <c r="F20" i="14"/>
  <c r="E20" i="14"/>
  <c r="I59" i="13" s="1"/>
  <c r="D20" i="14"/>
  <c r="H59" i="13" s="1"/>
  <c r="E100" i="19"/>
  <c r="H57" i="13" s="1"/>
  <c r="D100" i="19"/>
  <c r="J96" i="19"/>
  <c r="J45" i="19"/>
  <c r="J39" i="19"/>
  <c r="J95" i="19"/>
  <c r="F59" i="19"/>
  <c r="J41" i="19"/>
  <c r="F98" i="19"/>
  <c r="G98" i="19" s="1"/>
  <c r="H98" i="19" s="1"/>
  <c r="J98" i="19" s="1"/>
  <c r="F62" i="19"/>
  <c r="I93" i="19"/>
  <c r="F93" i="19"/>
  <c r="I94" i="19"/>
  <c r="F94" i="19"/>
  <c r="G94" i="19" s="1"/>
  <c r="H94" i="19" s="1"/>
  <c r="J94" i="19" s="1"/>
  <c r="J37" i="19"/>
  <c r="I64" i="19"/>
  <c r="F64" i="19"/>
  <c r="G64" i="19" s="1"/>
  <c r="H64" i="19" s="1"/>
  <c r="I63" i="19"/>
  <c r="F63" i="19"/>
  <c r="G63" i="19" s="1"/>
  <c r="H63" i="19" s="1"/>
  <c r="I85" i="19"/>
  <c r="F85" i="19"/>
  <c r="G85" i="19" s="1"/>
  <c r="H85" i="19" s="1"/>
  <c r="J85" i="19" s="1"/>
  <c r="I84" i="19"/>
  <c r="F84" i="19"/>
  <c r="I83" i="19"/>
  <c r="F83" i="19"/>
  <c r="G83" i="19" s="1"/>
  <c r="H83" i="19" s="1"/>
  <c r="I82" i="19"/>
  <c r="F82" i="19"/>
  <c r="G82" i="19" s="1"/>
  <c r="H82" i="19" s="1"/>
  <c r="I79" i="19"/>
  <c r="F79" i="19"/>
  <c r="I78" i="19"/>
  <c r="F78" i="19"/>
  <c r="G78" i="19" s="1"/>
  <c r="H78" i="19" s="1"/>
  <c r="I77" i="19"/>
  <c r="F77" i="19"/>
  <c r="G77" i="19" s="1"/>
  <c r="H77" i="19" s="1"/>
  <c r="I76" i="19"/>
  <c r="F76" i="19"/>
  <c r="G76" i="19" s="1"/>
  <c r="H76" i="19" s="1"/>
  <c r="I75" i="19"/>
  <c r="F75" i="19"/>
  <c r="G75" i="19" s="1"/>
  <c r="H75" i="19" s="1"/>
  <c r="I74" i="19"/>
  <c r="F74" i="19"/>
  <c r="G74" i="19" s="1"/>
  <c r="H74" i="19" s="1"/>
  <c r="I73" i="19"/>
  <c r="F73" i="19"/>
  <c r="G73" i="19" s="1"/>
  <c r="H73" i="19" s="1"/>
  <c r="I72" i="19"/>
  <c r="F72" i="19"/>
  <c r="I71" i="19"/>
  <c r="F71" i="19"/>
  <c r="I70" i="19"/>
  <c r="F70" i="19"/>
  <c r="G70" i="19" s="1"/>
  <c r="H70" i="19" s="1"/>
  <c r="I69" i="19"/>
  <c r="F69" i="19"/>
  <c r="G69" i="19" s="1"/>
  <c r="H69" i="19" s="1"/>
  <c r="I68" i="19"/>
  <c r="F68" i="19"/>
  <c r="G68" i="19" s="1"/>
  <c r="H68" i="19" s="1"/>
  <c r="J68" i="19" s="1"/>
  <c r="I67" i="19"/>
  <c r="F67" i="19"/>
  <c r="G67" i="19" s="1"/>
  <c r="H67" i="19" s="1"/>
  <c r="I66" i="19"/>
  <c r="F66" i="19"/>
  <c r="G66" i="19" s="1"/>
  <c r="H66" i="19" s="1"/>
  <c r="I65" i="19"/>
  <c r="F65" i="19"/>
  <c r="G65" i="19" s="1"/>
  <c r="H65" i="19" s="1"/>
  <c r="I90" i="19"/>
  <c r="F90" i="19"/>
  <c r="G90" i="19" s="1"/>
  <c r="H90" i="19" s="1"/>
  <c r="I89" i="19"/>
  <c r="F89" i="19"/>
  <c r="I88" i="19"/>
  <c r="F88" i="19"/>
  <c r="G88" i="19" s="1"/>
  <c r="H88" i="19" s="1"/>
  <c r="I87" i="19"/>
  <c r="F87" i="19"/>
  <c r="G87" i="19" s="1"/>
  <c r="H87" i="19" s="1"/>
  <c r="I61" i="19"/>
  <c r="F61" i="19"/>
  <c r="G61" i="19" s="1"/>
  <c r="H61" i="19" s="1"/>
  <c r="I92" i="19"/>
  <c r="F92" i="19"/>
  <c r="G92" i="19" s="1"/>
  <c r="H92" i="19" s="1"/>
  <c r="I91" i="19"/>
  <c r="F91" i="19"/>
  <c r="I60" i="19"/>
  <c r="F60" i="19"/>
  <c r="G60" i="19" s="1"/>
  <c r="H60" i="19" s="1"/>
  <c r="I86" i="19"/>
  <c r="F86" i="19"/>
  <c r="G86" i="19" s="1"/>
  <c r="H86" i="19" s="1"/>
  <c r="I58" i="19"/>
  <c r="F58" i="19"/>
  <c r="I97" i="19"/>
  <c r="F97" i="19"/>
  <c r="G97" i="19" s="1"/>
  <c r="H97" i="19" s="1"/>
  <c r="J97" i="19" s="1"/>
  <c r="I40" i="19"/>
  <c r="F40" i="19"/>
  <c r="G40" i="19" s="1"/>
  <c r="H40" i="19" s="1"/>
  <c r="I57" i="19"/>
  <c r="F57" i="19"/>
  <c r="G57" i="19" s="1"/>
  <c r="H57" i="19" s="1"/>
  <c r="I56" i="19"/>
  <c r="F56" i="19"/>
  <c r="J44" i="19"/>
  <c r="J38" i="19"/>
  <c r="I81" i="19"/>
  <c r="F81" i="19"/>
  <c r="I80" i="19"/>
  <c r="F80" i="19"/>
  <c r="G80" i="19" s="1"/>
  <c r="H80" i="19" s="1"/>
  <c r="I55" i="19"/>
  <c r="F55" i="19"/>
  <c r="G55" i="19" s="1"/>
  <c r="H55" i="19" s="1"/>
  <c r="I54" i="19"/>
  <c r="F54" i="19"/>
  <c r="G54" i="19" s="1"/>
  <c r="H54" i="19" s="1"/>
  <c r="I53" i="19"/>
  <c r="F53" i="19"/>
  <c r="G53" i="19" s="1"/>
  <c r="H53" i="19" s="1"/>
  <c r="I52" i="19"/>
  <c r="F52" i="19"/>
  <c r="G52" i="19" s="1"/>
  <c r="H52" i="19" s="1"/>
  <c r="I43" i="19"/>
  <c r="G43" i="19"/>
  <c r="H43" i="19" s="1"/>
  <c r="I51" i="19"/>
  <c r="F51" i="19"/>
  <c r="G51" i="19" s="1"/>
  <c r="H51" i="19" s="1"/>
  <c r="J51" i="19" s="1"/>
  <c r="I50" i="19"/>
  <c r="F50" i="19"/>
  <c r="G50" i="19" s="1"/>
  <c r="H50" i="19" s="1"/>
  <c r="I49" i="19"/>
  <c r="F49" i="19"/>
  <c r="G49" i="19" s="1"/>
  <c r="H49" i="19" s="1"/>
  <c r="I48" i="19"/>
  <c r="F48" i="19"/>
  <c r="J99" i="19"/>
  <c r="I47" i="19"/>
  <c r="F47" i="19"/>
  <c r="G47" i="19" s="1"/>
  <c r="H47" i="19" s="1"/>
  <c r="J42" i="19"/>
  <c r="I46" i="19"/>
  <c r="F46" i="19"/>
  <c r="G46" i="19" s="1"/>
  <c r="J70" i="19" l="1"/>
  <c r="J80" i="19"/>
  <c r="J78" i="19"/>
  <c r="H2" i="27"/>
  <c r="F34" i="14"/>
  <c r="E47" i="14"/>
  <c r="J76" i="19"/>
  <c r="J49" i="19"/>
  <c r="F56" i="14"/>
  <c r="F57" i="14" s="1"/>
  <c r="I44" i="13" s="1"/>
  <c r="E34" i="14"/>
  <c r="E121" i="24"/>
  <c r="D121" i="24"/>
  <c r="D24" i="13"/>
  <c r="J55" i="19"/>
  <c r="J88" i="19"/>
  <c r="J63" i="19"/>
  <c r="J53" i="19"/>
  <c r="J75" i="19"/>
  <c r="J65" i="19"/>
  <c r="J57" i="19"/>
  <c r="J67" i="19"/>
  <c r="J61" i="19"/>
  <c r="J43" i="19"/>
  <c r="J73" i="19"/>
  <c r="J83" i="19"/>
  <c r="I100" i="19"/>
  <c r="I57" i="13"/>
  <c r="G93" i="19"/>
  <c r="H93" i="19" s="1"/>
  <c r="J93" i="19" s="1"/>
  <c r="G58" i="19"/>
  <c r="H58" i="19" s="1"/>
  <c r="J58" i="19" s="1"/>
  <c r="G48" i="19"/>
  <c r="H48" i="19" s="1"/>
  <c r="J48" i="19" s="1"/>
  <c r="J52" i="19"/>
  <c r="G72" i="19"/>
  <c r="H72" i="19" s="1"/>
  <c r="J72" i="19" s="1"/>
  <c r="G56" i="19"/>
  <c r="H56" i="19" s="1"/>
  <c r="J56" i="19" s="1"/>
  <c r="J60" i="19"/>
  <c r="G59" i="19"/>
  <c r="H59" i="19" s="1"/>
  <c r="J59" i="19" s="1"/>
  <c r="F23" i="13"/>
  <c r="H18" i="24"/>
  <c r="E89" i="24"/>
  <c r="F92" i="24" s="1"/>
  <c r="H23" i="13"/>
  <c r="G23" i="13"/>
  <c r="G29" i="20"/>
  <c r="D34" i="14"/>
  <c r="C34" i="14"/>
  <c r="D18" i="24"/>
  <c r="G38" i="24"/>
  <c r="I38" i="24"/>
  <c r="H38" i="24"/>
  <c r="I18" i="24"/>
  <c r="F38" i="24"/>
  <c r="F18" i="24"/>
  <c r="G18" i="24"/>
  <c r="J82" i="19"/>
  <c r="J92" i="19"/>
  <c r="H46" i="19"/>
  <c r="J90" i="19"/>
  <c r="G62" i="19"/>
  <c r="H62" i="19" s="1"/>
  <c r="J62" i="19" s="1"/>
  <c r="G81" i="19"/>
  <c r="H81" i="19" s="1"/>
  <c r="J81" i="19" s="1"/>
  <c r="G91" i="19"/>
  <c r="H91" i="19" s="1"/>
  <c r="J91" i="19" s="1"/>
  <c r="G89" i="19"/>
  <c r="H89" i="19" s="1"/>
  <c r="J89" i="19" s="1"/>
  <c r="G71" i="19"/>
  <c r="H71" i="19" s="1"/>
  <c r="J71" i="19" s="1"/>
  <c r="G79" i="19"/>
  <c r="H79" i="19" s="1"/>
  <c r="J79" i="19" s="1"/>
  <c r="F100" i="19"/>
  <c r="J86" i="19"/>
  <c r="J69" i="19"/>
  <c r="J77" i="19"/>
  <c r="J64" i="19"/>
  <c r="G84" i="19"/>
  <c r="H84" i="19" s="1"/>
  <c r="J84" i="19" s="1"/>
  <c r="J47" i="19"/>
  <c r="J50" i="19"/>
  <c r="J54" i="19"/>
  <c r="J40" i="19"/>
  <c r="J66" i="19"/>
  <c r="J74" i="19"/>
  <c r="H44" i="13" l="1"/>
  <c r="G44" i="13"/>
  <c r="G25" i="13"/>
  <c r="J23" i="13"/>
  <c r="D22" i="25"/>
  <c r="D27" i="25" s="1"/>
  <c r="G100" i="19"/>
  <c r="J46" i="19"/>
  <c r="J100" i="19" s="1"/>
  <c r="H100" i="19"/>
  <c r="O33" i="18"/>
  <c r="N33" i="18"/>
  <c r="M33" i="18"/>
  <c r="L33" i="18"/>
  <c r="K33" i="18"/>
  <c r="J33" i="18"/>
  <c r="I33" i="18"/>
  <c r="H33" i="18"/>
  <c r="G33" i="18"/>
  <c r="F33" i="18"/>
  <c r="E33" i="18"/>
  <c r="D33" i="18"/>
  <c r="C33" i="18"/>
  <c r="P32" i="18"/>
  <c r="P31" i="18"/>
  <c r="P30" i="18"/>
  <c r="Q24" i="18"/>
  <c r="P24" i="18"/>
  <c r="O24" i="18"/>
  <c r="N24" i="18"/>
  <c r="M24" i="18"/>
  <c r="L24" i="18"/>
  <c r="K24" i="18"/>
  <c r="J24" i="18"/>
  <c r="I24" i="18"/>
  <c r="H24" i="18"/>
  <c r="G24" i="18"/>
  <c r="F24" i="18"/>
  <c r="E24" i="18"/>
  <c r="D24" i="18"/>
  <c r="R23" i="18"/>
  <c r="R22" i="18"/>
  <c r="R21" i="18"/>
  <c r="L16" i="18"/>
  <c r="K16" i="18"/>
  <c r="J16" i="18"/>
  <c r="I16" i="18"/>
  <c r="H16" i="18"/>
  <c r="G16" i="18"/>
  <c r="F16" i="18"/>
  <c r="E16" i="18"/>
  <c r="D16" i="18"/>
  <c r="C16" i="18"/>
  <c r="M15" i="18"/>
  <c r="O15" i="18" s="1"/>
  <c r="N14" i="18"/>
  <c r="M14" i="18"/>
  <c r="O14" i="18" s="1"/>
  <c r="M13" i="18"/>
  <c r="B26" i="3"/>
  <c r="C8" i="16"/>
  <c r="G61" i="13" s="1"/>
  <c r="E4" i="16"/>
  <c r="E8" i="16" s="1"/>
  <c r="I61" i="13" s="1"/>
  <c r="D4" i="16"/>
  <c r="D8" i="16" s="1"/>
  <c r="H61" i="13" s="1"/>
  <c r="C10" i="17"/>
  <c r="G34" i="13"/>
  <c r="H34" i="13"/>
  <c r="I34" i="13"/>
  <c r="AE92" i="15"/>
  <c r="BJ86" i="15"/>
  <c r="BI86" i="15"/>
  <c r="BH86" i="15"/>
  <c r="BG86" i="15"/>
  <c r="BF86" i="15"/>
  <c r="BE86" i="15"/>
  <c r="BD86" i="15"/>
  <c r="BC86" i="15"/>
  <c r="BB86" i="15"/>
  <c r="BA86" i="15"/>
  <c r="AZ86" i="15"/>
  <c r="AY86" i="15"/>
  <c r="AX86" i="15"/>
  <c r="AW86" i="15"/>
  <c r="AV86" i="15"/>
  <c r="AU86" i="15"/>
  <c r="AT86" i="15"/>
  <c r="AS86" i="15"/>
  <c r="AR86" i="15"/>
  <c r="AQ86" i="15"/>
  <c r="AP86" i="15"/>
  <c r="AO86" i="15"/>
  <c r="AN86" i="15"/>
  <c r="AM86" i="15"/>
  <c r="AL86" i="15"/>
  <c r="AK86" i="15"/>
  <c r="AJ86" i="15"/>
  <c r="AI86" i="15"/>
  <c r="AH86" i="15"/>
  <c r="AG86" i="15"/>
  <c r="AF86" i="15"/>
  <c r="AE86" i="15"/>
  <c r="AD86" i="15"/>
  <c r="AC86" i="15"/>
  <c r="AB86" i="15"/>
  <c r="AA86" i="15"/>
  <c r="Z86" i="15"/>
  <c r="Y86" i="15"/>
  <c r="X86" i="15"/>
  <c r="W86" i="15"/>
  <c r="V86" i="15"/>
  <c r="U86" i="15"/>
  <c r="T86" i="15"/>
  <c r="S86" i="15"/>
  <c r="R86" i="15"/>
  <c r="Q86" i="15"/>
  <c r="P86" i="15"/>
  <c r="O86" i="15"/>
  <c r="N86" i="15"/>
  <c r="M86" i="15"/>
  <c r="L86" i="15"/>
  <c r="K86" i="15"/>
  <c r="J86" i="15"/>
  <c r="I86" i="15"/>
  <c r="H86" i="15"/>
  <c r="G86" i="15"/>
  <c r="F86" i="15"/>
  <c r="E86" i="15"/>
  <c r="D86" i="15"/>
  <c r="C86" i="15"/>
  <c r="BH55" i="15"/>
  <c r="BF55" i="15"/>
  <c r="BB55" i="15"/>
  <c r="AY55" i="15"/>
  <c r="AM55" i="15"/>
  <c r="B55" i="15"/>
  <c r="AC54" i="15"/>
  <c r="AB54" i="15"/>
  <c r="AA54" i="15"/>
  <c r="Z54" i="15"/>
  <c r="Y54" i="15"/>
  <c r="X54" i="15"/>
  <c r="W54" i="15"/>
  <c r="V54" i="15"/>
  <c r="U54" i="15"/>
  <c r="T54" i="15"/>
  <c r="S54" i="15"/>
  <c r="R54" i="15"/>
  <c r="Q54" i="15"/>
  <c r="P54" i="15"/>
  <c r="O54" i="15"/>
  <c r="N54" i="15"/>
  <c r="M54" i="15"/>
  <c r="L54" i="15"/>
  <c r="K54" i="15"/>
  <c r="J54" i="15"/>
  <c r="I54" i="15"/>
  <c r="H54" i="15"/>
  <c r="G54" i="15"/>
  <c r="F54" i="15"/>
  <c r="E54" i="15"/>
  <c r="D54" i="15"/>
  <c r="C54" i="15"/>
  <c r="AC53" i="15"/>
  <c r="AB53" i="15"/>
  <c r="AA53" i="15"/>
  <c r="Z53" i="15"/>
  <c r="Y53" i="15"/>
  <c r="X53" i="15"/>
  <c r="W53" i="15"/>
  <c r="V53" i="15"/>
  <c r="U53" i="15"/>
  <c r="T53" i="15"/>
  <c r="S53" i="15"/>
  <c r="R53" i="15"/>
  <c r="Q53" i="15"/>
  <c r="P53" i="15"/>
  <c r="O53" i="15"/>
  <c r="N53" i="15"/>
  <c r="M53" i="15"/>
  <c r="L53" i="15"/>
  <c r="K53" i="15"/>
  <c r="J53" i="15"/>
  <c r="I53" i="15"/>
  <c r="H53" i="15"/>
  <c r="G53" i="15"/>
  <c r="F53" i="15"/>
  <c r="E53" i="15"/>
  <c r="D53" i="15"/>
  <c r="C53" i="15"/>
  <c r="AC52" i="15"/>
  <c r="AB52" i="15"/>
  <c r="AA52" i="15"/>
  <c r="Z52" i="15"/>
  <c r="Y52" i="15"/>
  <c r="X52" i="15"/>
  <c r="W52" i="15"/>
  <c r="V52" i="15"/>
  <c r="U52" i="15"/>
  <c r="T52" i="15"/>
  <c r="S52" i="15"/>
  <c r="R52" i="15"/>
  <c r="Q52" i="15"/>
  <c r="P52" i="15"/>
  <c r="O52" i="15"/>
  <c r="N52" i="15"/>
  <c r="M52" i="15"/>
  <c r="L52" i="15"/>
  <c r="K52" i="15"/>
  <c r="J52" i="15"/>
  <c r="I52" i="15"/>
  <c r="H52" i="15"/>
  <c r="G52" i="15"/>
  <c r="F52" i="15"/>
  <c r="E52" i="15"/>
  <c r="D52" i="15"/>
  <c r="C52" i="15"/>
  <c r="AC51" i="15"/>
  <c r="AB51" i="15"/>
  <c r="AA51" i="15"/>
  <c r="Z51" i="15"/>
  <c r="Y51" i="15"/>
  <c r="X51" i="15"/>
  <c r="W51" i="15"/>
  <c r="V51" i="15"/>
  <c r="U51" i="15"/>
  <c r="T51" i="15"/>
  <c r="S51" i="15"/>
  <c r="R51" i="15"/>
  <c r="Q51" i="15"/>
  <c r="P51" i="15"/>
  <c r="O51" i="15"/>
  <c r="N51" i="15"/>
  <c r="M51" i="15"/>
  <c r="L51" i="15"/>
  <c r="K51" i="15"/>
  <c r="J51" i="15"/>
  <c r="I51" i="15"/>
  <c r="H51" i="15"/>
  <c r="G51" i="15"/>
  <c r="F51" i="15"/>
  <c r="E51" i="15"/>
  <c r="D51" i="15"/>
  <c r="C51" i="15"/>
  <c r="AC50" i="15"/>
  <c r="AB50" i="15"/>
  <c r="AA50" i="15"/>
  <c r="Z50" i="15"/>
  <c r="Y50" i="15"/>
  <c r="X50" i="15"/>
  <c r="W50" i="15"/>
  <c r="V50" i="15"/>
  <c r="U50" i="15"/>
  <c r="T50" i="15"/>
  <c r="S50" i="15"/>
  <c r="R50" i="15"/>
  <c r="Q50" i="15"/>
  <c r="P50" i="15"/>
  <c r="O50" i="15"/>
  <c r="N50" i="15"/>
  <c r="M50" i="15"/>
  <c r="L50" i="15"/>
  <c r="K50" i="15"/>
  <c r="J50" i="15"/>
  <c r="I50" i="15"/>
  <c r="H50" i="15"/>
  <c r="G50" i="15"/>
  <c r="F50" i="15"/>
  <c r="E50" i="15"/>
  <c r="D50" i="15"/>
  <c r="C50" i="15"/>
  <c r="AC49" i="15"/>
  <c r="AB49" i="15"/>
  <c r="AA49" i="15"/>
  <c r="Z49" i="15"/>
  <c r="Y49" i="15"/>
  <c r="X49" i="15"/>
  <c r="W49" i="15"/>
  <c r="V49" i="15"/>
  <c r="U49" i="15"/>
  <c r="T49" i="15"/>
  <c r="S49" i="15"/>
  <c r="R49" i="15"/>
  <c r="Q49" i="15"/>
  <c r="P49" i="15"/>
  <c r="O49" i="15"/>
  <c r="N49" i="15"/>
  <c r="M49" i="15"/>
  <c r="L49" i="15"/>
  <c r="K49" i="15"/>
  <c r="J49" i="15"/>
  <c r="I49" i="15"/>
  <c r="H49" i="15"/>
  <c r="G49" i="15"/>
  <c r="F49" i="15"/>
  <c r="E49" i="15"/>
  <c r="D49" i="15"/>
  <c r="C49" i="15"/>
  <c r="AC48" i="15"/>
  <c r="AB48" i="15"/>
  <c r="AA48" i="15"/>
  <c r="Z48" i="15"/>
  <c r="Y48" i="15"/>
  <c r="X48" i="15"/>
  <c r="W48" i="15"/>
  <c r="V48" i="15"/>
  <c r="U48" i="15"/>
  <c r="T48" i="15"/>
  <c r="S48" i="15"/>
  <c r="R48" i="15"/>
  <c r="Q48" i="15"/>
  <c r="P48" i="15"/>
  <c r="O48" i="15"/>
  <c r="N48" i="15"/>
  <c r="M48" i="15"/>
  <c r="L48" i="15"/>
  <c r="K48" i="15"/>
  <c r="J48" i="15"/>
  <c r="I48" i="15"/>
  <c r="H48" i="15"/>
  <c r="G48" i="15"/>
  <c r="F48" i="15"/>
  <c r="E48" i="15"/>
  <c r="D48" i="15"/>
  <c r="C48" i="15"/>
  <c r="AC47" i="15"/>
  <c r="AB47" i="15"/>
  <c r="AA47" i="15"/>
  <c r="Z47" i="15"/>
  <c r="Y47" i="15"/>
  <c r="X47" i="15"/>
  <c r="W47" i="15"/>
  <c r="V47" i="15"/>
  <c r="U47" i="15"/>
  <c r="T47" i="15"/>
  <c r="S47" i="15"/>
  <c r="R47" i="15"/>
  <c r="Q47" i="15"/>
  <c r="P47" i="15"/>
  <c r="O47" i="15"/>
  <c r="N47" i="15"/>
  <c r="M47" i="15"/>
  <c r="L47" i="15"/>
  <c r="K47" i="15"/>
  <c r="J47" i="15"/>
  <c r="I47" i="15"/>
  <c r="H47" i="15"/>
  <c r="G47" i="15"/>
  <c r="F47" i="15"/>
  <c r="E47" i="15"/>
  <c r="D47" i="15"/>
  <c r="C47" i="15"/>
  <c r="AC46" i="15"/>
  <c r="AB46" i="15"/>
  <c r="AA46" i="15"/>
  <c r="Z46" i="15"/>
  <c r="Y46" i="15"/>
  <c r="X46" i="15"/>
  <c r="W46" i="15"/>
  <c r="V46" i="15"/>
  <c r="U46" i="15"/>
  <c r="T46" i="15"/>
  <c r="S46" i="15"/>
  <c r="R46" i="15"/>
  <c r="Q46" i="15"/>
  <c r="P46" i="15"/>
  <c r="O46" i="15"/>
  <c r="N46" i="15"/>
  <c r="M46" i="15"/>
  <c r="L46" i="15"/>
  <c r="K46" i="15"/>
  <c r="J46" i="15"/>
  <c r="I46" i="15"/>
  <c r="H46" i="15"/>
  <c r="G46" i="15"/>
  <c r="F46" i="15"/>
  <c r="E46" i="15"/>
  <c r="D46" i="15"/>
  <c r="C46" i="15"/>
  <c r="AC45" i="15"/>
  <c r="AB45" i="15"/>
  <c r="AA45" i="15"/>
  <c r="Z45" i="15"/>
  <c r="Y45" i="15"/>
  <c r="X45" i="15"/>
  <c r="W45" i="15"/>
  <c r="V45" i="15"/>
  <c r="U45" i="15"/>
  <c r="T45" i="15"/>
  <c r="S45" i="15"/>
  <c r="R45" i="15"/>
  <c r="Q45" i="15"/>
  <c r="P45" i="15"/>
  <c r="O45" i="15"/>
  <c r="N45" i="15"/>
  <c r="M45" i="15"/>
  <c r="L45" i="15"/>
  <c r="K45" i="15"/>
  <c r="J45" i="15"/>
  <c r="I45" i="15"/>
  <c r="H45" i="15"/>
  <c r="G45" i="15"/>
  <c r="F45" i="15"/>
  <c r="E45" i="15"/>
  <c r="D45" i="15"/>
  <c r="C45" i="15"/>
  <c r="AC44" i="15"/>
  <c r="AB44" i="15"/>
  <c r="AA44" i="15"/>
  <c r="Z44" i="15"/>
  <c r="Y44" i="15"/>
  <c r="X44" i="15"/>
  <c r="W44" i="15"/>
  <c r="V44" i="15"/>
  <c r="U44" i="15"/>
  <c r="T44" i="15"/>
  <c r="S44" i="15"/>
  <c r="R44" i="15"/>
  <c r="Q44" i="15"/>
  <c r="P44" i="15"/>
  <c r="O44" i="15"/>
  <c r="N44" i="15"/>
  <c r="M44" i="15"/>
  <c r="L44" i="15"/>
  <c r="K44" i="15"/>
  <c r="J44" i="15"/>
  <c r="I44" i="15"/>
  <c r="H44" i="15"/>
  <c r="G44" i="15"/>
  <c r="F44" i="15"/>
  <c r="E44" i="15"/>
  <c r="D44" i="15"/>
  <c r="C44" i="15"/>
  <c r="AC43" i="15"/>
  <c r="AB43" i="15"/>
  <c r="AA43" i="15"/>
  <c r="Z43" i="15"/>
  <c r="Y43" i="15"/>
  <c r="X43" i="15"/>
  <c r="W43" i="15"/>
  <c r="V43" i="15"/>
  <c r="U43" i="15"/>
  <c r="T43" i="15"/>
  <c r="S43" i="15"/>
  <c r="R43" i="15"/>
  <c r="Q43" i="15"/>
  <c r="P43" i="15"/>
  <c r="O43" i="15"/>
  <c r="N43" i="15"/>
  <c r="M43" i="15"/>
  <c r="L43" i="15"/>
  <c r="K43" i="15"/>
  <c r="J43" i="15"/>
  <c r="I43" i="15"/>
  <c r="H43" i="15"/>
  <c r="G43" i="15"/>
  <c r="F43" i="15"/>
  <c r="E43" i="15"/>
  <c r="D43" i="15"/>
  <c r="C43" i="15"/>
  <c r="B39" i="15"/>
  <c r="B54" i="15" s="1"/>
  <c r="B38" i="15"/>
  <c r="B53" i="15" s="1"/>
  <c r="B37" i="15"/>
  <c r="B52" i="15" s="1"/>
  <c r="B36" i="15"/>
  <c r="B51" i="15" s="1"/>
  <c r="B35" i="15"/>
  <c r="B50" i="15" s="1"/>
  <c r="B34" i="15"/>
  <c r="B49" i="15" s="1"/>
  <c r="B33" i="15"/>
  <c r="B48" i="15" s="1"/>
  <c r="B32" i="15"/>
  <c r="B47" i="15" s="1"/>
  <c r="B31" i="15"/>
  <c r="B46" i="15" s="1"/>
  <c r="B30" i="15"/>
  <c r="B45" i="15" s="1"/>
  <c r="B29" i="15"/>
  <c r="B44" i="15" s="1"/>
  <c r="AC28" i="15"/>
  <c r="AC58" i="15" s="1"/>
  <c r="AC88" i="15" s="1"/>
  <c r="AB28" i="15"/>
  <c r="AB58" i="15" s="1"/>
  <c r="AB88" i="15" s="1"/>
  <c r="AA28" i="15"/>
  <c r="AA58" i="15" s="1"/>
  <c r="AA88" i="15" s="1"/>
  <c r="Z28" i="15"/>
  <c r="Z58" i="15" s="1"/>
  <c r="Z88" i="15" s="1"/>
  <c r="Y28" i="15"/>
  <c r="Y58" i="15" s="1"/>
  <c r="Y88" i="15" s="1"/>
  <c r="X28" i="15"/>
  <c r="X58" i="15" s="1"/>
  <c r="X88" i="15" s="1"/>
  <c r="W28" i="15"/>
  <c r="W58" i="15" s="1"/>
  <c r="W88" i="15" s="1"/>
  <c r="V28" i="15"/>
  <c r="V58" i="15" s="1"/>
  <c r="V88" i="15" s="1"/>
  <c r="U28" i="15"/>
  <c r="U58" i="15" s="1"/>
  <c r="U88" i="15" s="1"/>
  <c r="T28" i="15"/>
  <c r="T58" i="15" s="1"/>
  <c r="T88" i="15" s="1"/>
  <c r="S28" i="15"/>
  <c r="S58" i="15" s="1"/>
  <c r="S88" i="15" s="1"/>
  <c r="R28" i="15"/>
  <c r="R58" i="15" s="1"/>
  <c r="R88" i="15" s="1"/>
  <c r="Q28" i="15"/>
  <c r="Q58" i="15" s="1"/>
  <c r="Q88" i="15" s="1"/>
  <c r="P28" i="15"/>
  <c r="P58" i="15" s="1"/>
  <c r="P88" i="15" s="1"/>
  <c r="O28" i="15"/>
  <c r="O58" i="15" s="1"/>
  <c r="O88" i="15" s="1"/>
  <c r="N28" i="15"/>
  <c r="N58" i="15" s="1"/>
  <c r="N88" i="15" s="1"/>
  <c r="M28" i="15"/>
  <c r="M58" i="15" s="1"/>
  <c r="M88" i="15" s="1"/>
  <c r="L28" i="15"/>
  <c r="L58" i="15" s="1"/>
  <c r="L88" i="15" s="1"/>
  <c r="K28" i="15"/>
  <c r="K58" i="15" s="1"/>
  <c r="K88" i="15" s="1"/>
  <c r="J28" i="15"/>
  <c r="J58" i="15" s="1"/>
  <c r="J88" i="15" s="1"/>
  <c r="I28" i="15"/>
  <c r="I58" i="15" s="1"/>
  <c r="I88" i="15" s="1"/>
  <c r="H28" i="15"/>
  <c r="H58" i="15" s="1"/>
  <c r="H88" i="15" s="1"/>
  <c r="G28" i="15"/>
  <c r="G58" i="15" s="1"/>
  <c r="G88" i="15" s="1"/>
  <c r="F28" i="15"/>
  <c r="F58" i="15" s="1"/>
  <c r="F88" i="15" s="1"/>
  <c r="E28" i="15"/>
  <c r="E58" i="15" s="1"/>
  <c r="E88" i="15" s="1"/>
  <c r="D28" i="15"/>
  <c r="D58" i="15" s="1"/>
  <c r="D88" i="15" s="1"/>
  <c r="C28" i="15"/>
  <c r="C58" i="15" s="1"/>
  <c r="C88" i="15" s="1"/>
  <c r="B28" i="15"/>
  <c r="B43" i="15" s="1"/>
  <c r="AC25" i="15"/>
  <c r="AB25" i="15"/>
  <c r="AA25" i="15"/>
  <c r="Z25" i="15"/>
  <c r="Y25" i="15"/>
  <c r="X25" i="15"/>
  <c r="W25" i="15"/>
  <c r="V25" i="15"/>
  <c r="U25" i="15"/>
  <c r="T25" i="15"/>
  <c r="S25" i="15"/>
  <c r="R25" i="15"/>
  <c r="Q25" i="15"/>
  <c r="P25" i="15"/>
  <c r="O25" i="15"/>
  <c r="N25" i="15"/>
  <c r="M25" i="15"/>
  <c r="L25" i="15"/>
  <c r="K25" i="15"/>
  <c r="J25" i="15"/>
  <c r="I25" i="15"/>
  <c r="H25" i="15"/>
  <c r="G25" i="15"/>
  <c r="F25" i="15"/>
  <c r="E25" i="15"/>
  <c r="D25" i="15"/>
  <c r="C25" i="15"/>
  <c r="BJ24" i="15"/>
  <c r="BJ54" i="15" s="1"/>
  <c r="BI24" i="15"/>
  <c r="BI54" i="15" s="1"/>
  <c r="BH24" i="15"/>
  <c r="BG24" i="15"/>
  <c r="BG54" i="15" s="1"/>
  <c r="BF24" i="15"/>
  <c r="BE24" i="15"/>
  <c r="BE54" i="15" s="1"/>
  <c r="BD24" i="15"/>
  <c r="BD54" i="15" s="1"/>
  <c r="BC24" i="15"/>
  <c r="BC54" i="15" s="1"/>
  <c r="BB24" i="15"/>
  <c r="BA24" i="15"/>
  <c r="BA54" i="15" s="1"/>
  <c r="AZ24" i="15"/>
  <c r="AZ54" i="15" s="1"/>
  <c r="AY24" i="15"/>
  <c r="AX24" i="15"/>
  <c r="AX54" i="15" s="1"/>
  <c r="AW24" i="15"/>
  <c r="AW54" i="15" s="1"/>
  <c r="AV24" i="15"/>
  <c r="AV54" i="15" s="1"/>
  <c r="AU24" i="15"/>
  <c r="AU54" i="15" s="1"/>
  <c r="AT24" i="15"/>
  <c r="AT54" i="15" s="1"/>
  <c r="AS24" i="15"/>
  <c r="AS54" i="15" s="1"/>
  <c r="AR24" i="15"/>
  <c r="AR54" i="15" s="1"/>
  <c r="AQ24" i="15"/>
  <c r="AQ54" i="15" s="1"/>
  <c r="AP24" i="15"/>
  <c r="AP54" i="15" s="1"/>
  <c r="AO24" i="15"/>
  <c r="AO54" i="15" s="1"/>
  <c r="AN24" i="15"/>
  <c r="AN54" i="15" s="1"/>
  <c r="AM24" i="15"/>
  <c r="AL24" i="15"/>
  <c r="AL54" i="15" s="1"/>
  <c r="AK24" i="15"/>
  <c r="AK54" i="15" s="1"/>
  <c r="AJ24" i="15"/>
  <c r="AJ54" i="15" s="1"/>
  <c r="AI24" i="15"/>
  <c r="AI54" i="15" s="1"/>
  <c r="AH24" i="15"/>
  <c r="AH54" i="15" s="1"/>
  <c r="AG24" i="15"/>
  <c r="AG54" i="15" s="1"/>
  <c r="AF24" i="15"/>
  <c r="AF54" i="15" s="1"/>
  <c r="AE24" i="15"/>
  <c r="AE54" i="15" s="1"/>
  <c r="AD24" i="15"/>
  <c r="AD54" i="15" s="1"/>
  <c r="BJ23" i="15"/>
  <c r="BJ53" i="15" s="1"/>
  <c r="BI23" i="15"/>
  <c r="BI53" i="15" s="1"/>
  <c r="BH23" i="15"/>
  <c r="BG23" i="15"/>
  <c r="BG53" i="15" s="1"/>
  <c r="BF23" i="15"/>
  <c r="BE23" i="15"/>
  <c r="BE53" i="15" s="1"/>
  <c r="BD23" i="15"/>
  <c r="BD53" i="15" s="1"/>
  <c r="BC23" i="15"/>
  <c r="BC53" i="15" s="1"/>
  <c r="BB23" i="15"/>
  <c r="BA23" i="15"/>
  <c r="BA53" i="15" s="1"/>
  <c r="AZ23" i="15"/>
  <c r="AZ53" i="15" s="1"/>
  <c r="AY23" i="15"/>
  <c r="AX23" i="15"/>
  <c r="AX53" i="15" s="1"/>
  <c r="AW23" i="15"/>
  <c r="AW53" i="15" s="1"/>
  <c r="AV23" i="15"/>
  <c r="AV53" i="15" s="1"/>
  <c r="AU23" i="15"/>
  <c r="AU53" i="15" s="1"/>
  <c r="AT23" i="15"/>
  <c r="AT53" i="15" s="1"/>
  <c r="AS23" i="15"/>
  <c r="AS53" i="15" s="1"/>
  <c r="AR23" i="15"/>
  <c r="AR53" i="15" s="1"/>
  <c r="AQ23" i="15"/>
  <c r="AQ53" i="15" s="1"/>
  <c r="AP23" i="15"/>
  <c r="AP53" i="15" s="1"/>
  <c r="AO23" i="15"/>
  <c r="AO53" i="15" s="1"/>
  <c r="AN23" i="15"/>
  <c r="AN53" i="15" s="1"/>
  <c r="AM23" i="15"/>
  <c r="AL23" i="15"/>
  <c r="AL53" i="15" s="1"/>
  <c r="AK23" i="15"/>
  <c r="AK53" i="15" s="1"/>
  <c r="AJ23" i="15"/>
  <c r="AJ53" i="15" s="1"/>
  <c r="AI23" i="15"/>
  <c r="AI53" i="15" s="1"/>
  <c r="AH23" i="15"/>
  <c r="AH53" i="15" s="1"/>
  <c r="AG23" i="15"/>
  <c r="AG53" i="15" s="1"/>
  <c r="AF23" i="15"/>
  <c r="AF53" i="15" s="1"/>
  <c r="AE23" i="15"/>
  <c r="AE53" i="15" s="1"/>
  <c r="AD23" i="15"/>
  <c r="AD53" i="15" s="1"/>
  <c r="BJ22" i="15"/>
  <c r="BJ52" i="15" s="1"/>
  <c r="BI22" i="15"/>
  <c r="BI52" i="15" s="1"/>
  <c r="BH22" i="15"/>
  <c r="BG22" i="15"/>
  <c r="BG52" i="15" s="1"/>
  <c r="BF22" i="15"/>
  <c r="BE22" i="15"/>
  <c r="BE52" i="15" s="1"/>
  <c r="BD22" i="15"/>
  <c r="BD52" i="15" s="1"/>
  <c r="BC22" i="15"/>
  <c r="BC52" i="15" s="1"/>
  <c r="BB22" i="15"/>
  <c r="BA22" i="15"/>
  <c r="BA52" i="15" s="1"/>
  <c r="AZ22" i="15"/>
  <c r="AZ52" i="15" s="1"/>
  <c r="AY22" i="15"/>
  <c r="AX22" i="15"/>
  <c r="AX52" i="15" s="1"/>
  <c r="AW22" i="15"/>
  <c r="AW52" i="15" s="1"/>
  <c r="AV22" i="15"/>
  <c r="AV52" i="15" s="1"/>
  <c r="AU22" i="15"/>
  <c r="AU52" i="15" s="1"/>
  <c r="AT22" i="15"/>
  <c r="AT52" i="15" s="1"/>
  <c r="AS22" i="15"/>
  <c r="AS52" i="15" s="1"/>
  <c r="AR22" i="15"/>
  <c r="AR52" i="15" s="1"/>
  <c r="AQ22" i="15"/>
  <c r="AQ52" i="15" s="1"/>
  <c r="AP22" i="15"/>
  <c r="AP52" i="15" s="1"/>
  <c r="AO22" i="15"/>
  <c r="AO52" i="15" s="1"/>
  <c r="AN22" i="15"/>
  <c r="AN52" i="15" s="1"/>
  <c r="AM22" i="15"/>
  <c r="AL22" i="15"/>
  <c r="AL52" i="15" s="1"/>
  <c r="AK22" i="15"/>
  <c r="AK52" i="15" s="1"/>
  <c r="AJ22" i="15"/>
  <c r="AJ52" i="15" s="1"/>
  <c r="AI22" i="15"/>
  <c r="AI52" i="15" s="1"/>
  <c r="AH22" i="15"/>
  <c r="AH52" i="15" s="1"/>
  <c r="AG22" i="15"/>
  <c r="AG52" i="15" s="1"/>
  <c r="AF22" i="15"/>
  <c r="AF52" i="15" s="1"/>
  <c r="AE22" i="15"/>
  <c r="AE52" i="15" s="1"/>
  <c r="AD22" i="15"/>
  <c r="AD52" i="15" s="1"/>
  <c r="BJ21" i="15"/>
  <c r="BJ51" i="15" s="1"/>
  <c r="BI21" i="15"/>
  <c r="BI51" i="15" s="1"/>
  <c r="BH21" i="15"/>
  <c r="BG21" i="15"/>
  <c r="BG51" i="15" s="1"/>
  <c r="BF21" i="15"/>
  <c r="BE21" i="15"/>
  <c r="BE51" i="15" s="1"/>
  <c r="BD21" i="15"/>
  <c r="BD51" i="15" s="1"/>
  <c r="BC21" i="15"/>
  <c r="BC51" i="15" s="1"/>
  <c r="BB21" i="15"/>
  <c r="BA21" i="15"/>
  <c r="BA51" i="15" s="1"/>
  <c r="AZ21" i="15"/>
  <c r="AZ51" i="15" s="1"/>
  <c r="AY21" i="15"/>
  <c r="AX21" i="15"/>
  <c r="AX51" i="15" s="1"/>
  <c r="AW21" i="15"/>
  <c r="AW51" i="15" s="1"/>
  <c r="AV21" i="15"/>
  <c r="AV51" i="15" s="1"/>
  <c r="AU21" i="15"/>
  <c r="AU51" i="15" s="1"/>
  <c r="AT21" i="15"/>
  <c r="AT51" i="15" s="1"/>
  <c r="AS21" i="15"/>
  <c r="AS51" i="15" s="1"/>
  <c r="AR21" i="15"/>
  <c r="AR51" i="15" s="1"/>
  <c r="AQ21" i="15"/>
  <c r="AQ51" i="15" s="1"/>
  <c r="AP21" i="15"/>
  <c r="AP51" i="15" s="1"/>
  <c r="AO21" i="15"/>
  <c r="AO51" i="15" s="1"/>
  <c r="AN21" i="15"/>
  <c r="AN51" i="15" s="1"/>
  <c r="AM21" i="15"/>
  <c r="AL21" i="15"/>
  <c r="AL51" i="15" s="1"/>
  <c r="AK21" i="15"/>
  <c r="AK51" i="15" s="1"/>
  <c r="AJ21" i="15"/>
  <c r="AJ51" i="15" s="1"/>
  <c r="AI21" i="15"/>
  <c r="AI51" i="15" s="1"/>
  <c r="AH21" i="15"/>
  <c r="AH51" i="15" s="1"/>
  <c r="AG21" i="15"/>
  <c r="AG51" i="15" s="1"/>
  <c r="AF21" i="15"/>
  <c r="AF51" i="15" s="1"/>
  <c r="AE21" i="15"/>
  <c r="AE51" i="15" s="1"/>
  <c r="AD21" i="15"/>
  <c r="AD51" i="15" s="1"/>
  <c r="BJ20" i="15"/>
  <c r="BJ50" i="15" s="1"/>
  <c r="BI20" i="15"/>
  <c r="BI50" i="15" s="1"/>
  <c r="BH20" i="15"/>
  <c r="BG20" i="15"/>
  <c r="BG50" i="15" s="1"/>
  <c r="BF20" i="15"/>
  <c r="BE20" i="15"/>
  <c r="BE50" i="15" s="1"/>
  <c r="BD20" i="15"/>
  <c r="BD50" i="15" s="1"/>
  <c r="BC20" i="15"/>
  <c r="BC50" i="15" s="1"/>
  <c r="BB20" i="15"/>
  <c r="BA20" i="15"/>
  <c r="BA50" i="15" s="1"/>
  <c r="AZ20" i="15"/>
  <c r="AZ50" i="15" s="1"/>
  <c r="AY20" i="15"/>
  <c r="AX20" i="15"/>
  <c r="AX50" i="15" s="1"/>
  <c r="AW20" i="15"/>
  <c r="AW50" i="15" s="1"/>
  <c r="AV20" i="15"/>
  <c r="AV50" i="15" s="1"/>
  <c r="AU20" i="15"/>
  <c r="AU50" i="15" s="1"/>
  <c r="AT20" i="15"/>
  <c r="AT50" i="15" s="1"/>
  <c r="AS20" i="15"/>
  <c r="AS50" i="15" s="1"/>
  <c r="AR20" i="15"/>
  <c r="AR50" i="15" s="1"/>
  <c r="AQ20" i="15"/>
  <c r="AQ50" i="15" s="1"/>
  <c r="AP20" i="15"/>
  <c r="AP50" i="15" s="1"/>
  <c r="AO20" i="15"/>
  <c r="AO50" i="15" s="1"/>
  <c r="AN20" i="15"/>
  <c r="AN50" i="15" s="1"/>
  <c r="AM20" i="15"/>
  <c r="AL20" i="15"/>
  <c r="AL50" i="15" s="1"/>
  <c r="AK20" i="15"/>
  <c r="AK50" i="15" s="1"/>
  <c r="AJ20" i="15"/>
  <c r="AJ50" i="15" s="1"/>
  <c r="AI20" i="15"/>
  <c r="AI50" i="15" s="1"/>
  <c r="AH20" i="15"/>
  <c r="AH50" i="15" s="1"/>
  <c r="AG20" i="15"/>
  <c r="AG50" i="15" s="1"/>
  <c r="AF20" i="15"/>
  <c r="AF50" i="15" s="1"/>
  <c r="AE20" i="15"/>
  <c r="AE50" i="15" s="1"/>
  <c r="AD20" i="15"/>
  <c r="AD50" i="15" s="1"/>
  <c r="BJ19" i="15"/>
  <c r="BJ49" i="15" s="1"/>
  <c r="BI19" i="15"/>
  <c r="BI49" i="15" s="1"/>
  <c r="BH19" i="15"/>
  <c r="BG19" i="15"/>
  <c r="BG49" i="15" s="1"/>
  <c r="BF19" i="15"/>
  <c r="BE19" i="15"/>
  <c r="BE49" i="15" s="1"/>
  <c r="BD19" i="15"/>
  <c r="BD49" i="15" s="1"/>
  <c r="BC19" i="15"/>
  <c r="BC49" i="15" s="1"/>
  <c r="BB19" i="15"/>
  <c r="BA19" i="15"/>
  <c r="BA49" i="15" s="1"/>
  <c r="AZ19" i="15"/>
  <c r="AZ49" i="15" s="1"/>
  <c r="AY19" i="15"/>
  <c r="AX19" i="15"/>
  <c r="AX49" i="15" s="1"/>
  <c r="AW19" i="15"/>
  <c r="AW49" i="15" s="1"/>
  <c r="AV19" i="15"/>
  <c r="AV49" i="15" s="1"/>
  <c r="AU19" i="15"/>
  <c r="AU49" i="15" s="1"/>
  <c r="AT19" i="15"/>
  <c r="AT49" i="15" s="1"/>
  <c r="AS19" i="15"/>
  <c r="AS49" i="15" s="1"/>
  <c r="AR19" i="15"/>
  <c r="AR49" i="15" s="1"/>
  <c r="AQ19" i="15"/>
  <c r="AQ49" i="15" s="1"/>
  <c r="AP19" i="15"/>
  <c r="AP49" i="15" s="1"/>
  <c r="AO19" i="15"/>
  <c r="AO49" i="15" s="1"/>
  <c r="AN19" i="15"/>
  <c r="AN49" i="15" s="1"/>
  <c r="AM19" i="15"/>
  <c r="AL19" i="15"/>
  <c r="AL49" i="15" s="1"/>
  <c r="AK19" i="15"/>
  <c r="AK49" i="15" s="1"/>
  <c r="AJ19" i="15"/>
  <c r="AJ49" i="15" s="1"/>
  <c r="AI19" i="15"/>
  <c r="AI49" i="15" s="1"/>
  <c r="AH19" i="15"/>
  <c r="AH49" i="15" s="1"/>
  <c r="AG19" i="15"/>
  <c r="AG49" i="15" s="1"/>
  <c r="AF19" i="15"/>
  <c r="AF49" i="15" s="1"/>
  <c r="AE19" i="15"/>
  <c r="AE49" i="15" s="1"/>
  <c r="AD19" i="15"/>
  <c r="AD49" i="15" s="1"/>
  <c r="BJ18" i="15"/>
  <c r="BJ48" i="15" s="1"/>
  <c r="BI18" i="15"/>
  <c r="BI48" i="15" s="1"/>
  <c r="BH18" i="15"/>
  <c r="BG18" i="15"/>
  <c r="BG48" i="15" s="1"/>
  <c r="BF18" i="15"/>
  <c r="BE18" i="15"/>
  <c r="BE48" i="15" s="1"/>
  <c r="BD18" i="15"/>
  <c r="BD48" i="15" s="1"/>
  <c r="BC18" i="15"/>
  <c r="BC48" i="15" s="1"/>
  <c r="BB18" i="15"/>
  <c r="BA18" i="15"/>
  <c r="BA48" i="15" s="1"/>
  <c r="AZ18" i="15"/>
  <c r="AZ48" i="15" s="1"/>
  <c r="AY18" i="15"/>
  <c r="AX18" i="15"/>
  <c r="AX48" i="15" s="1"/>
  <c r="AW18" i="15"/>
  <c r="AW48" i="15" s="1"/>
  <c r="AV18" i="15"/>
  <c r="AV48" i="15" s="1"/>
  <c r="AU18" i="15"/>
  <c r="AU48" i="15" s="1"/>
  <c r="AT18" i="15"/>
  <c r="AT48" i="15" s="1"/>
  <c r="AS18" i="15"/>
  <c r="AS48" i="15" s="1"/>
  <c r="AR18" i="15"/>
  <c r="AR48" i="15" s="1"/>
  <c r="AQ18" i="15"/>
  <c r="AQ48" i="15" s="1"/>
  <c r="AP18" i="15"/>
  <c r="AP48" i="15" s="1"/>
  <c r="AO18" i="15"/>
  <c r="AO48" i="15" s="1"/>
  <c r="AN18" i="15"/>
  <c r="AN48" i="15" s="1"/>
  <c r="AM18" i="15"/>
  <c r="AL18" i="15"/>
  <c r="AL48" i="15" s="1"/>
  <c r="AK18" i="15"/>
  <c r="AK48" i="15" s="1"/>
  <c r="AJ18" i="15"/>
  <c r="AJ48" i="15" s="1"/>
  <c r="AI18" i="15"/>
  <c r="AI48" i="15" s="1"/>
  <c r="AH18" i="15"/>
  <c r="AH48" i="15" s="1"/>
  <c r="AG18" i="15"/>
  <c r="AG48" i="15" s="1"/>
  <c r="AF18" i="15"/>
  <c r="AF48" i="15" s="1"/>
  <c r="AE18" i="15"/>
  <c r="AE48" i="15" s="1"/>
  <c r="AD18" i="15"/>
  <c r="AD48" i="15" s="1"/>
  <c r="BJ17" i="15"/>
  <c r="BJ47" i="15" s="1"/>
  <c r="BI17" i="15"/>
  <c r="BI47" i="15" s="1"/>
  <c r="BH17" i="15"/>
  <c r="BG17" i="15"/>
  <c r="BG47" i="15" s="1"/>
  <c r="BF17" i="15"/>
  <c r="BE17" i="15"/>
  <c r="BE47" i="15" s="1"/>
  <c r="BD17" i="15"/>
  <c r="BD47" i="15" s="1"/>
  <c r="BC17" i="15"/>
  <c r="BC47" i="15" s="1"/>
  <c r="BB17" i="15"/>
  <c r="BA17" i="15"/>
  <c r="BA47" i="15" s="1"/>
  <c r="AZ17" i="15"/>
  <c r="AZ47" i="15" s="1"/>
  <c r="AY17" i="15"/>
  <c r="AX17" i="15"/>
  <c r="AX47" i="15" s="1"/>
  <c r="AW17" i="15"/>
  <c r="AW47" i="15" s="1"/>
  <c r="AV17" i="15"/>
  <c r="AV47" i="15" s="1"/>
  <c r="AU17" i="15"/>
  <c r="AU47" i="15" s="1"/>
  <c r="AT17" i="15"/>
  <c r="AT47" i="15" s="1"/>
  <c r="AS17" i="15"/>
  <c r="AS47" i="15" s="1"/>
  <c r="AR17" i="15"/>
  <c r="AR47" i="15" s="1"/>
  <c r="AQ17" i="15"/>
  <c r="AQ47" i="15" s="1"/>
  <c r="AP17" i="15"/>
  <c r="AP47" i="15" s="1"/>
  <c r="AO17" i="15"/>
  <c r="AO47" i="15" s="1"/>
  <c r="AN17" i="15"/>
  <c r="AN47" i="15" s="1"/>
  <c r="AM17" i="15"/>
  <c r="AL17" i="15"/>
  <c r="AL47" i="15" s="1"/>
  <c r="AK17" i="15"/>
  <c r="AK47" i="15" s="1"/>
  <c r="AJ17" i="15"/>
  <c r="AJ47" i="15" s="1"/>
  <c r="AI17" i="15"/>
  <c r="AI47" i="15" s="1"/>
  <c r="AH17" i="15"/>
  <c r="AH47" i="15" s="1"/>
  <c r="AG17" i="15"/>
  <c r="AG47" i="15" s="1"/>
  <c r="AF17" i="15"/>
  <c r="AF47" i="15" s="1"/>
  <c r="AE17" i="15"/>
  <c r="AE47" i="15" s="1"/>
  <c r="AD17" i="15"/>
  <c r="AD47" i="15" s="1"/>
  <c r="BJ16" i="15"/>
  <c r="BJ46" i="15" s="1"/>
  <c r="BI16" i="15"/>
  <c r="BI46" i="15" s="1"/>
  <c r="BH16" i="15"/>
  <c r="BG16" i="15"/>
  <c r="BG46" i="15" s="1"/>
  <c r="BF16" i="15"/>
  <c r="BE16" i="15"/>
  <c r="BE46" i="15" s="1"/>
  <c r="BD16" i="15"/>
  <c r="BD46" i="15" s="1"/>
  <c r="BC16" i="15"/>
  <c r="BC46" i="15" s="1"/>
  <c r="BB16" i="15"/>
  <c r="BA16" i="15"/>
  <c r="BA46" i="15" s="1"/>
  <c r="AZ16" i="15"/>
  <c r="AZ46" i="15" s="1"/>
  <c r="AY16" i="15"/>
  <c r="AX16" i="15"/>
  <c r="AX46" i="15" s="1"/>
  <c r="AW16" i="15"/>
  <c r="AW46" i="15" s="1"/>
  <c r="AV16" i="15"/>
  <c r="AV46" i="15" s="1"/>
  <c r="AU16" i="15"/>
  <c r="AU46" i="15" s="1"/>
  <c r="AT16" i="15"/>
  <c r="AT46" i="15" s="1"/>
  <c r="AS16" i="15"/>
  <c r="AS46" i="15" s="1"/>
  <c r="AR16" i="15"/>
  <c r="AR46" i="15" s="1"/>
  <c r="AQ16" i="15"/>
  <c r="AQ46" i="15" s="1"/>
  <c r="AP16" i="15"/>
  <c r="AP46" i="15" s="1"/>
  <c r="AO16" i="15"/>
  <c r="AO46" i="15" s="1"/>
  <c r="AN16" i="15"/>
  <c r="AN46" i="15" s="1"/>
  <c r="AM16" i="15"/>
  <c r="AL16" i="15"/>
  <c r="AL46" i="15" s="1"/>
  <c r="AK16" i="15"/>
  <c r="AK46" i="15" s="1"/>
  <c r="AJ16" i="15"/>
  <c r="AJ46" i="15" s="1"/>
  <c r="AI16" i="15"/>
  <c r="AI46" i="15" s="1"/>
  <c r="AH16" i="15"/>
  <c r="AH46" i="15" s="1"/>
  <c r="AG16" i="15"/>
  <c r="AG46" i="15" s="1"/>
  <c r="AF16" i="15"/>
  <c r="AF46" i="15" s="1"/>
  <c r="AE16" i="15"/>
  <c r="AE46" i="15" s="1"/>
  <c r="AD16" i="15"/>
  <c r="AD46" i="15" s="1"/>
  <c r="BJ15" i="15"/>
  <c r="BJ45" i="15" s="1"/>
  <c r="BI15" i="15"/>
  <c r="BI45" i="15" s="1"/>
  <c r="BH15" i="15"/>
  <c r="BG15" i="15"/>
  <c r="BG45" i="15" s="1"/>
  <c r="BF15" i="15"/>
  <c r="BE15" i="15"/>
  <c r="BE45" i="15" s="1"/>
  <c r="BD15" i="15"/>
  <c r="BD45" i="15" s="1"/>
  <c r="BC15" i="15"/>
  <c r="BC45" i="15" s="1"/>
  <c r="BB15" i="15"/>
  <c r="BA15" i="15"/>
  <c r="BA45" i="15" s="1"/>
  <c r="AZ15" i="15"/>
  <c r="AZ45" i="15" s="1"/>
  <c r="AY15" i="15"/>
  <c r="AX15" i="15"/>
  <c r="AX45" i="15" s="1"/>
  <c r="AW15" i="15"/>
  <c r="AW45" i="15" s="1"/>
  <c r="AV15" i="15"/>
  <c r="AV45" i="15" s="1"/>
  <c r="AU15" i="15"/>
  <c r="AU45" i="15" s="1"/>
  <c r="AT15" i="15"/>
  <c r="AT45" i="15" s="1"/>
  <c r="AS15" i="15"/>
  <c r="AS45" i="15" s="1"/>
  <c r="AR15" i="15"/>
  <c r="AR45" i="15" s="1"/>
  <c r="AQ15" i="15"/>
  <c r="AQ45" i="15" s="1"/>
  <c r="AP15" i="15"/>
  <c r="AP45" i="15" s="1"/>
  <c r="AO15" i="15"/>
  <c r="AO45" i="15" s="1"/>
  <c r="AN15" i="15"/>
  <c r="AN45" i="15" s="1"/>
  <c r="AM15" i="15"/>
  <c r="AL15" i="15"/>
  <c r="AL45" i="15" s="1"/>
  <c r="AK15" i="15"/>
  <c r="AK45" i="15" s="1"/>
  <c r="AJ15" i="15"/>
  <c r="AJ45" i="15" s="1"/>
  <c r="AI15" i="15"/>
  <c r="AI45" i="15" s="1"/>
  <c r="AH15" i="15"/>
  <c r="AH45" i="15" s="1"/>
  <c r="AG15" i="15"/>
  <c r="AG45" i="15" s="1"/>
  <c r="AF15" i="15"/>
  <c r="AF45" i="15" s="1"/>
  <c r="AE15" i="15"/>
  <c r="AE45" i="15" s="1"/>
  <c r="AD15" i="15"/>
  <c r="AD45" i="15" s="1"/>
  <c r="BJ14" i="15"/>
  <c r="BI14" i="15"/>
  <c r="BH14" i="15"/>
  <c r="BG14" i="15"/>
  <c r="BF14" i="15"/>
  <c r="BE14" i="15"/>
  <c r="BE44" i="15" s="1"/>
  <c r="BD14" i="15"/>
  <c r="BD44" i="15" s="1"/>
  <c r="BC14" i="15"/>
  <c r="BC44" i="15" s="1"/>
  <c r="BB14" i="15"/>
  <c r="BA14" i="15"/>
  <c r="BA44" i="15" s="1"/>
  <c r="AZ14" i="15"/>
  <c r="AZ44" i="15" s="1"/>
  <c r="AY14" i="15"/>
  <c r="AX14" i="15"/>
  <c r="AX44" i="15" s="1"/>
  <c r="AW14" i="15"/>
  <c r="AW44" i="15" s="1"/>
  <c r="AV14" i="15"/>
  <c r="AV44" i="15" s="1"/>
  <c r="AU14" i="15"/>
  <c r="AU44" i="15" s="1"/>
  <c r="AT14" i="15"/>
  <c r="AS14" i="15"/>
  <c r="AR14" i="15"/>
  <c r="AR44" i="15" s="1"/>
  <c r="AQ14" i="15"/>
  <c r="AQ44" i="15" s="1"/>
  <c r="AP14" i="15"/>
  <c r="AP44" i="15" s="1"/>
  <c r="AO14" i="15"/>
  <c r="AO44" i="15" s="1"/>
  <c r="AN14" i="15"/>
  <c r="AN44" i="15" s="1"/>
  <c r="AM14" i="15"/>
  <c r="AL14" i="15"/>
  <c r="AK14" i="15"/>
  <c r="AK44" i="15" s="1"/>
  <c r="AJ14" i="15"/>
  <c r="AI14" i="15"/>
  <c r="AI44" i="15" s="1"/>
  <c r="AH14" i="15"/>
  <c r="AH44" i="15" s="1"/>
  <c r="AG14" i="15"/>
  <c r="AG44" i="15" s="1"/>
  <c r="AF14" i="15"/>
  <c r="AF44" i="15" s="1"/>
  <c r="AE14" i="15"/>
  <c r="AE44" i="15" s="1"/>
  <c r="AD14" i="15"/>
  <c r="BJ13" i="15"/>
  <c r="BJ43" i="15" s="1"/>
  <c r="BI13" i="15"/>
  <c r="BI43" i="15" s="1"/>
  <c r="BH13" i="15"/>
  <c r="BH43" i="15" s="1"/>
  <c r="BG13" i="15"/>
  <c r="BG43" i="15" s="1"/>
  <c r="BF13" i="15"/>
  <c r="BF28" i="15" s="1"/>
  <c r="BF58" i="15" s="1"/>
  <c r="BF88" i="15" s="1"/>
  <c r="BE13" i="15"/>
  <c r="BE43" i="15" s="1"/>
  <c r="BD13" i="15"/>
  <c r="BD28" i="15" s="1"/>
  <c r="BD58" i="15" s="1"/>
  <c r="BD88" i="15" s="1"/>
  <c r="BC13" i="15"/>
  <c r="BB13" i="15"/>
  <c r="BB43" i="15" s="1"/>
  <c r="BA13" i="15"/>
  <c r="BA43" i="15" s="1"/>
  <c r="AZ13" i="15"/>
  <c r="AZ43" i="15" s="1"/>
  <c r="AY13" i="15"/>
  <c r="AY43" i="15" s="1"/>
  <c r="AX13" i="15"/>
  <c r="AX28" i="15" s="1"/>
  <c r="AX58" i="15" s="1"/>
  <c r="AX88" i="15" s="1"/>
  <c r="AW13" i="15"/>
  <c r="AW43" i="15" s="1"/>
  <c r="AV13" i="15"/>
  <c r="AV43" i="15" s="1"/>
  <c r="AU13" i="15"/>
  <c r="AT13" i="15"/>
  <c r="AT43" i="15" s="1"/>
  <c r="AS13" i="15"/>
  <c r="AS43" i="15" s="1"/>
  <c r="AR13" i="15"/>
  <c r="AR43" i="15" s="1"/>
  <c r="AQ13" i="15"/>
  <c r="AQ43" i="15" s="1"/>
  <c r="AP13" i="15"/>
  <c r="AP43" i="15" s="1"/>
  <c r="AO13" i="15"/>
  <c r="AO43" i="15" s="1"/>
  <c r="AN13" i="15"/>
  <c r="AN43" i="15" s="1"/>
  <c r="AM13" i="15"/>
  <c r="AL13" i="15"/>
  <c r="AL43" i="15" s="1"/>
  <c r="AK13" i="15"/>
  <c r="AK43" i="15" s="1"/>
  <c r="AJ13" i="15"/>
  <c r="AJ43" i="15" s="1"/>
  <c r="AI13" i="15"/>
  <c r="AI43" i="15" s="1"/>
  <c r="AH13" i="15"/>
  <c r="AH43" i="15" s="1"/>
  <c r="AG13" i="15"/>
  <c r="AG43" i="15" s="1"/>
  <c r="AF13" i="15"/>
  <c r="AF43" i="15" s="1"/>
  <c r="AE13" i="15"/>
  <c r="AD13" i="15"/>
  <c r="AD43" i="15" s="1"/>
  <c r="J64" i="13"/>
  <c r="J62" i="13"/>
  <c r="D40" i="25" s="1"/>
  <c r="J57" i="13"/>
  <c r="D35" i="25" s="1"/>
  <c r="F65" i="13"/>
  <c r="H39" i="13"/>
  <c r="I39" i="13" s="1"/>
  <c r="F40" i="13"/>
  <c r="G38" i="13"/>
  <c r="G40" i="13" s="1"/>
  <c r="I33" i="13"/>
  <c r="H33" i="13"/>
  <c r="G33" i="13"/>
  <c r="F33" i="13"/>
  <c r="F34" i="13" s="1"/>
  <c r="F14" i="13"/>
  <c r="L39" i="2"/>
  <c r="L36" i="2"/>
  <c r="L35" i="2"/>
  <c r="E25" i="2"/>
  <c r="G9" i="12"/>
  <c r="G8" i="12"/>
  <c r="G7" i="12"/>
  <c r="G6" i="12"/>
  <c r="G5" i="12"/>
  <c r="L37" i="2" l="1"/>
  <c r="C38" i="18"/>
  <c r="B31" i="3"/>
  <c r="C37" i="18"/>
  <c r="B30" i="3"/>
  <c r="C39" i="18"/>
  <c r="B32" i="3"/>
  <c r="C32" i="3" s="1"/>
  <c r="R24" i="18"/>
  <c r="C8" i="20" s="1"/>
  <c r="M16" i="18"/>
  <c r="C7" i="20" s="1"/>
  <c r="C10" i="20" s="1"/>
  <c r="J44" i="13"/>
  <c r="D4" i="15"/>
  <c r="C4" i="15"/>
  <c r="AJ25" i="15"/>
  <c r="AX43" i="15"/>
  <c r="AH28" i="15"/>
  <c r="AH58" i="15" s="1"/>
  <c r="AH88" i="15" s="1"/>
  <c r="O55" i="15"/>
  <c r="BD43" i="15"/>
  <c r="BF43" i="15"/>
  <c r="F25" i="13"/>
  <c r="F54" i="13" s="1"/>
  <c r="D55" i="15"/>
  <c r="S55" i="15"/>
  <c r="BB25" i="15"/>
  <c r="T55" i="15"/>
  <c r="F55" i="15"/>
  <c r="U55" i="15"/>
  <c r="G55" i="15"/>
  <c r="V55" i="15"/>
  <c r="P55" i="15"/>
  <c r="W55" i="15"/>
  <c r="R55" i="15"/>
  <c r="AF28" i="15"/>
  <c r="AF58" i="15" s="1"/>
  <c r="AF88" i="15" s="1"/>
  <c r="I55" i="15"/>
  <c r="X55" i="15"/>
  <c r="Q55" i="15"/>
  <c r="AZ55" i="15"/>
  <c r="C55" i="15"/>
  <c r="H55" i="15"/>
  <c r="Y55" i="15"/>
  <c r="BF25" i="15"/>
  <c r="AR55" i="15"/>
  <c r="BH25" i="15"/>
  <c r="AN28" i="15"/>
  <c r="AN58" i="15" s="1"/>
  <c r="AN88" i="15" s="1"/>
  <c r="K55" i="15"/>
  <c r="Z55" i="15"/>
  <c r="J55" i="15"/>
  <c r="AP28" i="15"/>
  <c r="AP58" i="15" s="1"/>
  <c r="AP88" i="15" s="1"/>
  <c r="L55" i="15"/>
  <c r="AA55" i="15"/>
  <c r="AV28" i="15"/>
  <c r="AV58" i="15" s="1"/>
  <c r="AV88" i="15" s="1"/>
  <c r="M55" i="15"/>
  <c r="AB55" i="15"/>
  <c r="BA55" i="15"/>
  <c r="N55" i="15"/>
  <c r="AC55" i="15"/>
  <c r="J61" i="13"/>
  <c r="D39" i="25" s="1"/>
  <c r="D38" i="18"/>
  <c r="D39" i="18"/>
  <c r="N15" i="18"/>
  <c r="P33" i="18"/>
  <c r="C9" i="20" s="1"/>
  <c r="N13" i="18"/>
  <c r="O13" i="18"/>
  <c r="G35" i="13"/>
  <c r="G42" i="13" s="1"/>
  <c r="I35" i="13"/>
  <c r="H35" i="13"/>
  <c r="F35" i="13"/>
  <c r="F42" i="13" s="1"/>
  <c r="AF25" i="15"/>
  <c r="AK25" i="15"/>
  <c r="AS25" i="15"/>
  <c r="BA25" i="15"/>
  <c r="BI25" i="15"/>
  <c r="AN25" i="15"/>
  <c r="E55" i="15"/>
  <c r="BC43" i="15"/>
  <c r="BC28" i="15"/>
  <c r="BC58" i="15" s="1"/>
  <c r="BC88" i="15" s="1"/>
  <c r="AL25" i="15"/>
  <c r="AL44" i="15"/>
  <c r="AL55" i="15" s="1"/>
  <c r="BJ44" i="15"/>
  <c r="BJ55" i="15" s="1"/>
  <c r="BJ25" i="15"/>
  <c r="AV25" i="15"/>
  <c r="AI55" i="15"/>
  <c r="AM43" i="15"/>
  <c r="AM28" i="15"/>
  <c r="AM58" i="15" s="1"/>
  <c r="AM88" i="15" s="1"/>
  <c r="AE55" i="15"/>
  <c r="BC55" i="15"/>
  <c r="BD25" i="15"/>
  <c r="AK55" i="15"/>
  <c r="AE43" i="15"/>
  <c r="AE28" i="15"/>
  <c r="AE58" i="15" s="1"/>
  <c r="AE88" i="15" s="1"/>
  <c r="AM25" i="15"/>
  <c r="AN55" i="15"/>
  <c r="AD44" i="15"/>
  <c r="AD55" i="15" s="1"/>
  <c r="AD25" i="15"/>
  <c r="AU55" i="15"/>
  <c r="AF55" i="15"/>
  <c r="AV55" i="15"/>
  <c r="AG55" i="15"/>
  <c r="AO55" i="15"/>
  <c r="AW55" i="15"/>
  <c r="BE55" i="15"/>
  <c r="BD55" i="15"/>
  <c r="AX55" i="15"/>
  <c r="AU43" i="15"/>
  <c r="AU28" i="15"/>
  <c r="AU58" i="15" s="1"/>
  <c r="AU88" i="15" s="1"/>
  <c r="AT44" i="15"/>
  <c r="AT55" i="15" s="1"/>
  <c r="AT25" i="15"/>
  <c r="AH55" i="15"/>
  <c r="AP55" i="15"/>
  <c r="AI25" i="15"/>
  <c r="AQ55" i="15"/>
  <c r="AY25" i="15"/>
  <c r="BG25" i="15"/>
  <c r="AE25" i="15"/>
  <c r="AE26" i="15" s="1"/>
  <c r="AU25" i="15"/>
  <c r="BC25" i="15"/>
  <c r="AG28" i="15"/>
  <c r="AG58" i="15" s="1"/>
  <c r="AG88" i="15" s="1"/>
  <c r="AO28" i="15"/>
  <c r="AO58" i="15" s="1"/>
  <c r="AO88" i="15" s="1"/>
  <c r="AW28" i="15"/>
  <c r="AW58" i="15" s="1"/>
  <c r="AW88" i="15" s="1"/>
  <c r="BE28" i="15"/>
  <c r="BE58" i="15" s="1"/>
  <c r="BE88" i="15" s="1"/>
  <c r="AJ44" i="15"/>
  <c r="AJ55" i="15" s="1"/>
  <c r="AS44" i="15"/>
  <c r="AS55" i="15" s="1"/>
  <c r="AG25" i="15"/>
  <c r="AO25" i="15"/>
  <c r="AW25" i="15"/>
  <c r="BE25" i="15"/>
  <c r="AI28" i="15"/>
  <c r="AI58" i="15" s="1"/>
  <c r="AI88" i="15" s="1"/>
  <c r="AQ28" i="15"/>
  <c r="AQ58" i="15" s="1"/>
  <c r="AQ88" i="15" s="1"/>
  <c r="AY28" i="15"/>
  <c r="AY58" i="15" s="1"/>
  <c r="AY88" i="15" s="1"/>
  <c r="BG28" i="15"/>
  <c r="BG58" i="15" s="1"/>
  <c r="BG88" i="15" s="1"/>
  <c r="AH25" i="15"/>
  <c r="AP25" i="15"/>
  <c r="AX25" i="15"/>
  <c r="AJ28" i="15"/>
  <c r="AJ58" i="15" s="1"/>
  <c r="AJ88" i="15" s="1"/>
  <c r="AR28" i="15"/>
  <c r="AR58" i="15" s="1"/>
  <c r="AR88" i="15" s="1"/>
  <c r="AZ28" i="15"/>
  <c r="AZ58" i="15" s="1"/>
  <c r="AZ88" i="15" s="1"/>
  <c r="BH28" i="15"/>
  <c r="BH58" i="15" s="1"/>
  <c r="BH88" i="15" s="1"/>
  <c r="BG44" i="15"/>
  <c r="BG55" i="15" s="1"/>
  <c r="AQ25" i="15"/>
  <c r="AK28" i="15"/>
  <c r="AK58" i="15" s="1"/>
  <c r="AK88" i="15" s="1"/>
  <c r="AS28" i="15"/>
  <c r="AS58" i="15" s="1"/>
  <c r="AS88" i="15" s="1"/>
  <c r="BA28" i="15"/>
  <c r="BA58" i="15" s="1"/>
  <c r="BA88" i="15" s="1"/>
  <c r="BI28" i="15"/>
  <c r="BI58" i="15" s="1"/>
  <c r="BI88" i="15" s="1"/>
  <c r="BI44" i="15"/>
  <c r="BI55" i="15" s="1"/>
  <c r="AR25" i="15"/>
  <c r="AZ25" i="15"/>
  <c r="AD28" i="15"/>
  <c r="AD58" i="15" s="1"/>
  <c r="AD88" i="15" s="1"/>
  <c r="AL28" i="15"/>
  <c r="AL58" i="15" s="1"/>
  <c r="AL88" i="15" s="1"/>
  <c r="AT28" i="15"/>
  <c r="AT58" i="15" s="1"/>
  <c r="AT88" i="15" s="1"/>
  <c r="BB28" i="15"/>
  <c r="BB58" i="15" s="1"/>
  <c r="BB88" i="15" s="1"/>
  <c r="BJ28" i="15"/>
  <c r="BJ58" i="15" s="1"/>
  <c r="BJ88" i="15" s="1"/>
  <c r="H38" i="13"/>
  <c r="I38" i="13" s="1"/>
  <c r="I40" i="13" s="1"/>
  <c r="L40" i="2"/>
  <c r="M40" i="2" s="1"/>
  <c r="E35" i="2"/>
  <c r="E31" i="2"/>
  <c r="E32" i="2"/>
  <c r="D28" i="10"/>
  <c r="D22" i="10"/>
  <c r="E24" i="2" s="1"/>
  <c r="E4" i="15" l="1"/>
  <c r="D8" i="20"/>
  <c r="O16" i="18"/>
  <c r="C31" i="3"/>
  <c r="D9" i="20"/>
  <c r="I56" i="13" s="1"/>
  <c r="I5" i="15"/>
  <c r="N16" i="18"/>
  <c r="H5" i="15"/>
  <c r="E5" i="15"/>
  <c r="F5" i="15"/>
  <c r="D5" i="15"/>
  <c r="C5" i="15"/>
  <c r="F4" i="15"/>
  <c r="G4" i="15"/>
  <c r="I4" i="15"/>
  <c r="G5" i="15"/>
  <c r="H4" i="15"/>
  <c r="I25" i="13"/>
  <c r="H25" i="13"/>
  <c r="C96" i="15"/>
  <c r="C99" i="15"/>
  <c r="C103" i="15" s="1"/>
  <c r="C98" i="15"/>
  <c r="C102" i="15" s="1"/>
  <c r="I42" i="13"/>
  <c r="H40" i="13"/>
  <c r="H42" i="13" s="1"/>
  <c r="H43" i="13" s="1"/>
  <c r="H45" i="13" s="1"/>
  <c r="G43" i="13"/>
  <c r="G45" i="13" s="1"/>
  <c r="AE56" i="15"/>
  <c r="C97" i="15"/>
  <c r="D13" i="9"/>
  <c r="E13" i="9" s="1"/>
  <c r="G13" i="9" s="1"/>
  <c r="C13" i="9"/>
  <c r="D12" i="9"/>
  <c r="C12" i="9"/>
  <c r="D11" i="9"/>
  <c r="C11" i="9"/>
  <c r="D10" i="9"/>
  <c r="C10" i="9"/>
  <c r="D9" i="9"/>
  <c r="C9" i="9"/>
  <c r="D8" i="9"/>
  <c r="E8" i="9" s="1"/>
  <c r="G8" i="9" s="1"/>
  <c r="C8" i="9"/>
  <c r="D7" i="9"/>
  <c r="D14" i="9" s="1"/>
  <c r="C7" i="9"/>
  <c r="D6" i="9"/>
  <c r="E6" i="9" s="1"/>
  <c r="C6" i="9"/>
  <c r="Q39" i="8"/>
  <c r="P39" i="8"/>
  <c r="O39" i="8"/>
  <c r="N39" i="8"/>
  <c r="M39" i="8"/>
  <c r="L39" i="8"/>
  <c r="K39" i="8"/>
  <c r="J39" i="8"/>
  <c r="R38" i="8"/>
  <c r="Q38" i="8"/>
  <c r="R37" i="8"/>
  <c r="Q37" i="8"/>
  <c r="R36" i="8"/>
  <c r="Q36" i="8"/>
  <c r="R35" i="8"/>
  <c r="Q35" i="8"/>
  <c r="S34" i="8"/>
  <c r="R34" i="8"/>
  <c r="C116" i="24" s="1"/>
  <c r="Q34" i="8"/>
  <c r="R33" i="8"/>
  <c r="Q33" i="8"/>
  <c r="R32" i="8"/>
  <c r="Q32" i="8"/>
  <c r="R31" i="8"/>
  <c r="Q31" i="8"/>
  <c r="Q29" i="8"/>
  <c r="R28" i="8"/>
  <c r="Q28" i="8"/>
  <c r="R27" i="8"/>
  <c r="Q27" i="8"/>
  <c r="Q25" i="8"/>
  <c r="Q24" i="8"/>
  <c r="O24" i="8"/>
  <c r="R24" i="8" s="1"/>
  <c r="S24" i="8" s="1"/>
  <c r="P21" i="8"/>
  <c r="O21" i="8"/>
  <c r="N21" i="8"/>
  <c r="M21" i="8"/>
  <c r="L21" i="8"/>
  <c r="K21" i="8"/>
  <c r="J21" i="8"/>
  <c r="I21" i="8"/>
  <c r="H21" i="8"/>
  <c r="G21" i="8"/>
  <c r="F21" i="8"/>
  <c r="E21" i="8"/>
  <c r="C21" i="8"/>
  <c r="R20" i="8"/>
  <c r="D20" i="8"/>
  <c r="Q20" i="8" s="1"/>
  <c r="T20" i="8" s="1"/>
  <c r="R19" i="8"/>
  <c r="D19" i="8"/>
  <c r="Q19" i="8" s="1"/>
  <c r="R18" i="8"/>
  <c r="D18" i="8"/>
  <c r="Q18" i="8" s="1"/>
  <c r="R17" i="8"/>
  <c r="D17" i="8"/>
  <c r="Q17" i="8" s="1"/>
  <c r="P14" i="8"/>
  <c r="O14" i="8"/>
  <c r="N14" i="8"/>
  <c r="N23" i="8" s="1"/>
  <c r="N25" i="8" s="1"/>
  <c r="M14" i="8"/>
  <c r="L14" i="8"/>
  <c r="K14" i="8"/>
  <c r="K23" i="8" s="1"/>
  <c r="K25" i="8" s="1"/>
  <c r="J14" i="8"/>
  <c r="I14" i="8"/>
  <c r="I23" i="8" s="1"/>
  <c r="I25" i="8" s="1"/>
  <c r="I29" i="8" s="1"/>
  <c r="I40" i="8" s="1"/>
  <c r="H14" i="8"/>
  <c r="H23" i="8" s="1"/>
  <c r="H25" i="8" s="1"/>
  <c r="H29" i="8" s="1"/>
  <c r="H40" i="8" s="1"/>
  <c r="G14" i="8"/>
  <c r="F14" i="8"/>
  <c r="F23" i="8" s="1"/>
  <c r="F25" i="8" s="1"/>
  <c r="F29" i="8" s="1"/>
  <c r="F40" i="8" s="1"/>
  <c r="E14" i="8"/>
  <c r="E23" i="8" s="1"/>
  <c r="E25" i="8" s="1"/>
  <c r="C14" i="8"/>
  <c r="R13" i="8"/>
  <c r="D13" i="8"/>
  <c r="Q13" i="8" s="1"/>
  <c r="R12" i="8"/>
  <c r="D12" i="8"/>
  <c r="Q12" i="8" s="1"/>
  <c r="S12" i="8" s="1"/>
  <c r="R11" i="8"/>
  <c r="D11" i="8"/>
  <c r="Q11" i="8" s="1"/>
  <c r="R10" i="8"/>
  <c r="T10" i="8" s="1"/>
  <c r="Q10" i="8"/>
  <c r="D10" i="8"/>
  <c r="Q39" i="7"/>
  <c r="P39" i="7"/>
  <c r="O39" i="7"/>
  <c r="N39" i="7"/>
  <c r="M39" i="7"/>
  <c r="L39" i="7"/>
  <c r="K39" i="7"/>
  <c r="J39" i="7"/>
  <c r="I39" i="7"/>
  <c r="H39" i="7"/>
  <c r="G39" i="7"/>
  <c r="F39" i="7"/>
  <c r="E39" i="7"/>
  <c r="R38" i="7"/>
  <c r="Q38" i="7"/>
  <c r="R37" i="7"/>
  <c r="Q37" i="7"/>
  <c r="R36" i="7"/>
  <c r="Q36" i="7"/>
  <c r="R35" i="7"/>
  <c r="Q35" i="7"/>
  <c r="R34" i="7"/>
  <c r="Q34" i="7"/>
  <c r="R33" i="7"/>
  <c r="D105" i="24" s="1"/>
  <c r="Q33" i="7"/>
  <c r="R32" i="7"/>
  <c r="D104" i="24" s="1"/>
  <c r="Q32" i="7"/>
  <c r="R31" i="7"/>
  <c r="D103" i="24" s="1"/>
  <c r="Q31" i="7"/>
  <c r="Q29" i="7"/>
  <c r="Q28" i="7"/>
  <c r="N28" i="7"/>
  <c r="M28" i="7"/>
  <c r="K28" i="7"/>
  <c r="I28" i="7"/>
  <c r="Q27" i="7"/>
  <c r="L27" i="7"/>
  <c r="I27" i="7"/>
  <c r="R27" i="7" s="1"/>
  <c r="T27" i="7" s="1"/>
  <c r="Q25" i="7"/>
  <c r="Q24" i="7"/>
  <c r="I24" i="7"/>
  <c r="R24" i="7" s="1"/>
  <c r="P21" i="7"/>
  <c r="O21" i="7"/>
  <c r="N21" i="7"/>
  <c r="M21" i="7"/>
  <c r="L21" i="7"/>
  <c r="K21" i="7"/>
  <c r="J21" i="7"/>
  <c r="I21" i="7"/>
  <c r="H21" i="7"/>
  <c r="G21" i="7"/>
  <c r="F21" i="7"/>
  <c r="E21" i="7"/>
  <c r="C21" i="7"/>
  <c r="R20" i="7"/>
  <c r="D20" i="7"/>
  <c r="Q20" i="7" s="1"/>
  <c r="R19" i="7"/>
  <c r="D19" i="7"/>
  <c r="Q19" i="7" s="1"/>
  <c r="R18" i="7"/>
  <c r="D18" i="7"/>
  <c r="R17" i="7"/>
  <c r="D17" i="7"/>
  <c r="Q17" i="7" s="1"/>
  <c r="P14" i="7"/>
  <c r="P23" i="7" s="1"/>
  <c r="P25" i="7" s="1"/>
  <c r="O14" i="7"/>
  <c r="N14" i="7"/>
  <c r="N23" i="7" s="1"/>
  <c r="N25" i="7" s="1"/>
  <c r="M14" i="7"/>
  <c r="M23" i="7" s="1"/>
  <c r="M25" i="7" s="1"/>
  <c r="L14" i="7"/>
  <c r="J14" i="7"/>
  <c r="I14" i="7"/>
  <c r="H14" i="7"/>
  <c r="G14" i="7"/>
  <c r="F14" i="7"/>
  <c r="E14" i="7"/>
  <c r="C14" i="7"/>
  <c r="R13" i="7"/>
  <c r="D13" i="7"/>
  <c r="Q13" i="7" s="1"/>
  <c r="T13" i="7" s="1"/>
  <c r="R12" i="7"/>
  <c r="D12" i="7"/>
  <c r="Q12" i="7" s="1"/>
  <c r="R11" i="7"/>
  <c r="D11" i="7"/>
  <c r="Q11" i="7" s="1"/>
  <c r="K10" i="7"/>
  <c r="R10" i="7" s="1"/>
  <c r="D10" i="7"/>
  <c r="Q10" i="7" s="1"/>
  <c r="Q39" i="6"/>
  <c r="Q38" i="6"/>
  <c r="P38" i="6"/>
  <c r="O38" i="6"/>
  <c r="N38" i="6"/>
  <c r="M38" i="6"/>
  <c r="L38" i="6"/>
  <c r="K38" i="6"/>
  <c r="J38" i="6"/>
  <c r="I38" i="6"/>
  <c r="H38" i="6"/>
  <c r="G38" i="6"/>
  <c r="F38" i="6"/>
  <c r="E38" i="6"/>
  <c r="Q37" i="6"/>
  <c r="P37" i="6"/>
  <c r="O37" i="6"/>
  <c r="N37" i="6"/>
  <c r="M37" i="6"/>
  <c r="L37" i="6"/>
  <c r="K37" i="6"/>
  <c r="J37" i="6"/>
  <c r="I37" i="6"/>
  <c r="H37" i="6"/>
  <c r="G37" i="6"/>
  <c r="F37" i="6"/>
  <c r="E37" i="6"/>
  <c r="Q36" i="6"/>
  <c r="P36" i="6"/>
  <c r="O36" i="6"/>
  <c r="N36" i="6"/>
  <c r="M36" i="6"/>
  <c r="L36" i="6"/>
  <c r="K36" i="6"/>
  <c r="J36" i="6"/>
  <c r="I36" i="6"/>
  <c r="H36" i="6"/>
  <c r="G36" i="6"/>
  <c r="F36" i="6"/>
  <c r="E36" i="6"/>
  <c r="R36" i="6" s="1"/>
  <c r="F118" i="24" s="1"/>
  <c r="Q35" i="6"/>
  <c r="P35" i="6"/>
  <c r="O35" i="6"/>
  <c r="N35" i="6"/>
  <c r="N41" i="6" s="1"/>
  <c r="I55" i="24" s="1"/>
  <c r="M35" i="6"/>
  <c r="L35" i="6"/>
  <c r="K35" i="6"/>
  <c r="J35" i="6"/>
  <c r="I35" i="6"/>
  <c r="H35" i="6"/>
  <c r="G35" i="6"/>
  <c r="F35" i="6"/>
  <c r="F41" i="6" s="1"/>
  <c r="I47" i="24" s="1"/>
  <c r="E35" i="6"/>
  <c r="Q34" i="6"/>
  <c r="P34" i="6"/>
  <c r="O34" i="6"/>
  <c r="N34" i="6"/>
  <c r="M34" i="6"/>
  <c r="L34" i="6"/>
  <c r="K34" i="6"/>
  <c r="J34" i="6"/>
  <c r="I34" i="6"/>
  <c r="H34" i="6"/>
  <c r="G34" i="6"/>
  <c r="F34" i="6"/>
  <c r="E34" i="6"/>
  <c r="Q33" i="6"/>
  <c r="P33" i="6"/>
  <c r="H57" i="24" s="1"/>
  <c r="O33" i="6"/>
  <c r="H56" i="24" s="1"/>
  <c r="N33" i="6"/>
  <c r="H55" i="24" s="1"/>
  <c r="M33" i="6"/>
  <c r="H54" i="24" s="1"/>
  <c r="L33" i="6"/>
  <c r="H53" i="24" s="1"/>
  <c r="K33" i="6"/>
  <c r="H52" i="24" s="1"/>
  <c r="J33" i="6"/>
  <c r="H51" i="24" s="1"/>
  <c r="I33" i="6"/>
  <c r="H50" i="24" s="1"/>
  <c r="H33" i="6"/>
  <c r="H49" i="24" s="1"/>
  <c r="G33" i="6"/>
  <c r="H48" i="24" s="1"/>
  <c r="F33" i="6"/>
  <c r="H47" i="24" s="1"/>
  <c r="E33" i="6"/>
  <c r="Q32" i="6"/>
  <c r="P32" i="6"/>
  <c r="O32" i="6"/>
  <c r="G56" i="24" s="1"/>
  <c r="N32" i="6"/>
  <c r="G55" i="24" s="1"/>
  <c r="M32" i="6"/>
  <c r="L32" i="6"/>
  <c r="G53" i="24" s="1"/>
  <c r="K32" i="6"/>
  <c r="G52" i="24" s="1"/>
  <c r="J32" i="6"/>
  <c r="I32" i="6"/>
  <c r="G50" i="24" s="1"/>
  <c r="H32" i="6"/>
  <c r="G49" i="24" s="1"/>
  <c r="G32" i="6"/>
  <c r="F32" i="6"/>
  <c r="G47" i="24" s="1"/>
  <c r="E32" i="6"/>
  <c r="Q31" i="6"/>
  <c r="P31" i="6"/>
  <c r="O31" i="6"/>
  <c r="N31" i="6"/>
  <c r="M31" i="6"/>
  <c r="L31" i="6"/>
  <c r="K31" i="6"/>
  <c r="J31" i="6"/>
  <c r="I31" i="6"/>
  <c r="H31" i="6"/>
  <c r="G31" i="6"/>
  <c r="F31" i="6"/>
  <c r="E31" i="6"/>
  <c r="Q29" i="6"/>
  <c r="Q28" i="6"/>
  <c r="G28" i="6"/>
  <c r="F28" i="6"/>
  <c r="R28" i="6" s="1"/>
  <c r="S28" i="6" s="1"/>
  <c r="R27" i="6"/>
  <c r="D27" i="6"/>
  <c r="Q27" i="6" s="1"/>
  <c r="S27" i="6" s="1"/>
  <c r="C27" i="6"/>
  <c r="Q25" i="6"/>
  <c r="R24" i="6"/>
  <c r="Q24" i="6"/>
  <c r="S24" i="6" s="1"/>
  <c r="P21" i="6"/>
  <c r="O21" i="6"/>
  <c r="N21" i="6"/>
  <c r="M21" i="6"/>
  <c r="L21" i="6"/>
  <c r="K21" i="6"/>
  <c r="J21" i="6"/>
  <c r="I21" i="6"/>
  <c r="H21" i="6"/>
  <c r="G21" i="6"/>
  <c r="F21" i="6"/>
  <c r="E21" i="6"/>
  <c r="C21" i="6"/>
  <c r="R20" i="6"/>
  <c r="Q20" i="6"/>
  <c r="S20" i="6" s="1"/>
  <c r="D20" i="6"/>
  <c r="R19" i="6"/>
  <c r="D19" i="6"/>
  <c r="Q19" i="6" s="1"/>
  <c r="S18" i="6"/>
  <c r="R18" i="6"/>
  <c r="Q18" i="6"/>
  <c r="D18" i="6"/>
  <c r="R17" i="6"/>
  <c r="D17" i="6"/>
  <c r="Q17" i="6" s="1"/>
  <c r="P14" i="6"/>
  <c r="O14" i="6"/>
  <c r="O23" i="6" s="1"/>
  <c r="O25" i="6" s="1"/>
  <c r="N14" i="6"/>
  <c r="N23" i="6" s="1"/>
  <c r="N25" i="6" s="1"/>
  <c r="M14" i="6"/>
  <c r="M23" i="6" s="1"/>
  <c r="M25" i="6" s="1"/>
  <c r="L14" i="6"/>
  <c r="L23" i="6" s="1"/>
  <c r="L25" i="6" s="1"/>
  <c r="K14" i="6"/>
  <c r="K23" i="6" s="1"/>
  <c r="K25" i="6" s="1"/>
  <c r="J14" i="6"/>
  <c r="J23" i="6" s="1"/>
  <c r="J25" i="6" s="1"/>
  <c r="I14" i="6"/>
  <c r="I23" i="6" s="1"/>
  <c r="I25" i="6" s="1"/>
  <c r="H14" i="6"/>
  <c r="G14" i="6"/>
  <c r="G23" i="6" s="1"/>
  <c r="G25" i="6" s="1"/>
  <c r="F14" i="6"/>
  <c r="E14" i="6"/>
  <c r="C14" i="6"/>
  <c r="R13" i="6"/>
  <c r="Q13" i="6"/>
  <c r="D13" i="6"/>
  <c r="R12" i="6"/>
  <c r="D12" i="6"/>
  <c r="Q12" i="6" s="1"/>
  <c r="T12" i="6" s="1"/>
  <c r="R11" i="6"/>
  <c r="D11" i="6"/>
  <c r="Q11" i="6" s="1"/>
  <c r="S11" i="6" s="1"/>
  <c r="R10" i="6"/>
  <c r="D10" i="6"/>
  <c r="Q39" i="5"/>
  <c r="Q38" i="5"/>
  <c r="P38" i="5"/>
  <c r="O38" i="5"/>
  <c r="N38" i="5"/>
  <c r="M38" i="5"/>
  <c r="L38" i="5"/>
  <c r="K38" i="5"/>
  <c r="J38" i="5"/>
  <c r="I38" i="5"/>
  <c r="H38" i="5"/>
  <c r="G38" i="5"/>
  <c r="F38" i="5"/>
  <c r="E38" i="5"/>
  <c r="Q37" i="5"/>
  <c r="P37" i="5"/>
  <c r="O37" i="5"/>
  <c r="N37" i="5"/>
  <c r="M37" i="5"/>
  <c r="L37" i="5"/>
  <c r="K37" i="5"/>
  <c r="J37" i="5"/>
  <c r="I37" i="5"/>
  <c r="H37" i="5"/>
  <c r="G37" i="5"/>
  <c r="F37" i="5"/>
  <c r="E37" i="5"/>
  <c r="Q36" i="5"/>
  <c r="P36" i="5"/>
  <c r="O36" i="5"/>
  <c r="N36" i="5"/>
  <c r="M36" i="5"/>
  <c r="L36" i="5"/>
  <c r="K36" i="5"/>
  <c r="J36" i="5"/>
  <c r="I36" i="5"/>
  <c r="H36" i="5"/>
  <c r="G36" i="5"/>
  <c r="F36" i="5"/>
  <c r="E36" i="5"/>
  <c r="Q35" i="5"/>
  <c r="P35" i="5"/>
  <c r="O35" i="5"/>
  <c r="N35" i="5"/>
  <c r="M35" i="5"/>
  <c r="L35" i="5"/>
  <c r="K35" i="5"/>
  <c r="K41" i="5" s="1"/>
  <c r="I72" i="24" s="1"/>
  <c r="J35" i="5"/>
  <c r="I35" i="5"/>
  <c r="H35" i="5"/>
  <c r="G35" i="5"/>
  <c r="F35" i="5"/>
  <c r="E35" i="5"/>
  <c r="Q34" i="5"/>
  <c r="P34" i="5"/>
  <c r="O34" i="5"/>
  <c r="N34" i="5"/>
  <c r="M34" i="5"/>
  <c r="L34" i="5"/>
  <c r="K34" i="5"/>
  <c r="J34" i="5"/>
  <c r="I34" i="5"/>
  <c r="H34" i="5"/>
  <c r="G34" i="5"/>
  <c r="F34" i="5"/>
  <c r="E34" i="5"/>
  <c r="Q33" i="5"/>
  <c r="P33" i="5"/>
  <c r="H77" i="24" s="1"/>
  <c r="O33" i="5"/>
  <c r="H76" i="24" s="1"/>
  <c r="N33" i="5"/>
  <c r="H75" i="24" s="1"/>
  <c r="M33" i="5"/>
  <c r="H74" i="24" s="1"/>
  <c r="L33" i="5"/>
  <c r="H73" i="24" s="1"/>
  <c r="K33" i="5"/>
  <c r="H72" i="24" s="1"/>
  <c r="J33" i="5"/>
  <c r="H71" i="24" s="1"/>
  <c r="I33" i="5"/>
  <c r="H70" i="24" s="1"/>
  <c r="H33" i="5"/>
  <c r="H69" i="24" s="1"/>
  <c r="G33" i="5"/>
  <c r="H68" i="24" s="1"/>
  <c r="F33" i="5"/>
  <c r="H67" i="24" s="1"/>
  <c r="E33" i="5"/>
  <c r="H66" i="24" s="1"/>
  <c r="Q32" i="5"/>
  <c r="P32" i="5"/>
  <c r="O32" i="5"/>
  <c r="N32" i="5"/>
  <c r="M32" i="5"/>
  <c r="G74" i="24" s="1"/>
  <c r="L32" i="5"/>
  <c r="G73" i="24" s="1"/>
  <c r="K32" i="5"/>
  <c r="G72" i="24" s="1"/>
  <c r="J32" i="5"/>
  <c r="G71" i="24" s="1"/>
  <c r="I32" i="5"/>
  <c r="G70" i="24" s="1"/>
  <c r="H32" i="5"/>
  <c r="G69" i="24" s="1"/>
  <c r="G32" i="5"/>
  <c r="F32" i="5"/>
  <c r="G67" i="24" s="1"/>
  <c r="E32" i="5"/>
  <c r="G66" i="24" s="1"/>
  <c r="Q31" i="5"/>
  <c r="P31" i="5"/>
  <c r="F77" i="24" s="1"/>
  <c r="O31" i="5"/>
  <c r="N31" i="5"/>
  <c r="F75" i="24" s="1"/>
  <c r="M31" i="5"/>
  <c r="F74" i="24" s="1"/>
  <c r="L31" i="5"/>
  <c r="F73" i="24" s="1"/>
  <c r="K31" i="5"/>
  <c r="F72" i="24" s="1"/>
  <c r="J31" i="5"/>
  <c r="F71" i="24" s="1"/>
  <c r="I31" i="5"/>
  <c r="F70" i="24" s="1"/>
  <c r="H31" i="5"/>
  <c r="F69" i="24" s="1"/>
  <c r="G31" i="5"/>
  <c r="F68" i="24" s="1"/>
  <c r="F31" i="5"/>
  <c r="F67" i="24" s="1"/>
  <c r="E31" i="5"/>
  <c r="F66" i="24" s="1"/>
  <c r="R30" i="5"/>
  <c r="Q30" i="5"/>
  <c r="Q29" i="5"/>
  <c r="R28" i="5"/>
  <c r="Q28" i="5"/>
  <c r="R27" i="5"/>
  <c r="D27" i="5"/>
  <c r="Q27" i="5" s="1"/>
  <c r="Q25" i="5"/>
  <c r="R24" i="5"/>
  <c r="Q24" i="5"/>
  <c r="P21" i="5"/>
  <c r="O21" i="5"/>
  <c r="N21" i="5"/>
  <c r="M21" i="5"/>
  <c r="L21" i="5"/>
  <c r="K21" i="5"/>
  <c r="J21" i="5"/>
  <c r="I21" i="5"/>
  <c r="H21" i="5"/>
  <c r="G21" i="5"/>
  <c r="F21" i="5"/>
  <c r="E21" i="5"/>
  <c r="C21" i="5"/>
  <c r="R20" i="5"/>
  <c r="D20" i="5"/>
  <c r="Q20" i="5" s="1"/>
  <c r="R19" i="5"/>
  <c r="D19" i="5"/>
  <c r="Q19" i="5" s="1"/>
  <c r="R18" i="5"/>
  <c r="D18" i="5"/>
  <c r="Q18" i="5" s="1"/>
  <c r="R17" i="5"/>
  <c r="D17" i="5"/>
  <c r="Q17" i="5" s="1"/>
  <c r="P14" i="5"/>
  <c r="O14" i="5"/>
  <c r="N14" i="5"/>
  <c r="K14" i="5"/>
  <c r="J14" i="5"/>
  <c r="I14" i="5"/>
  <c r="E14" i="5"/>
  <c r="C14" i="5"/>
  <c r="C23" i="5" s="1"/>
  <c r="R13" i="5"/>
  <c r="D13" i="5"/>
  <c r="Q13" i="5" s="1"/>
  <c r="G12" i="5"/>
  <c r="F12" i="5"/>
  <c r="R12" i="5" s="1"/>
  <c r="D12" i="5"/>
  <c r="Q12" i="5" s="1"/>
  <c r="M11" i="5"/>
  <c r="L11" i="5"/>
  <c r="L14" i="5" s="1"/>
  <c r="L23" i="5" s="1"/>
  <c r="L25" i="5" s="1"/>
  <c r="H11" i="5"/>
  <c r="H14" i="5" s="1"/>
  <c r="F11" i="5"/>
  <c r="D11" i="5"/>
  <c r="Q11" i="5" s="1"/>
  <c r="G10" i="5"/>
  <c r="F10" i="5"/>
  <c r="D10" i="5"/>
  <c r="Q10" i="5" s="1"/>
  <c r="D13" i="4"/>
  <c r="C13" i="4"/>
  <c r="D12" i="4"/>
  <c r="E12" i="4" s="1"/>
  <c r="F12" i="4" s="1"/>
  <c r="C12" i="4"/>
  <c r="D11" i="4"/>
  <c r="C11" i="4"/>
  <c r="D10" i="4"/>
  <c r="E10" i="4" s="1"/>
  <c r="F10" i="4" s="1"/>
  <c r="C10" i="4"/>
  <c r="D9" i="4"/>
  <c r="C9" i="4"/>
  <c r="D8" i="4"/>
  <c r="C8" i="4"/>
  <c r="E8" i="4" s="1"/>
  <c r="F8" i="4" s="1"/>
  <c r="D7" i="4"/>
  <c r="E7" i="4" s="1"/>
  <c r="F7" i="4" s="1"/>
  <c r="C7" i="4"/>
  <c r="D6" i="4"/>
  <c r="C6" i="4"/>
  <c r="D12" i="3"/>
  <c r="C12" i="3"/>
  <c r="B12" i="3"/>
  <c r="D11" i="3"/>
  <c r="C11" i="3"/>
  <c r="B11" i="3"/>
  <c r="D10" i="3"/>
  <c r="C10" i="3"/>
  <c r="B10" i="3"/>
  <c r="D9" i="3"/>
  <c r="C9" i="3"/>
  <c r="B9" i="3"/>
  <c r="D8" i="3"/>
  <c r="C8" i="3"/>
  <c r="B8" i="3"/>
  <c r="D7" i="3"/>
  <c r="C7" i="3"/>
  <c r="B7" i="3"/>
  <c r="D6" i="3"/>
  <c r="C6" i="3"/>
  <c r="B6" i="3"/>
  <c r="D5" i="3"/>
  <c r="C5" i="3"/>
  <c r="B5" i="3"/>
  <c r="F54" i="2"/>
  <c r="E33" i="2"/>
  <c r="E36" i="2" s="1"/>
  <c r="F36" i="2" s="1"/>
  <c r="F44" i="2" s="1"/>
  <c r="E26" i="2"/>
  <c r="A4" i="1"/>
  <c r="A5" i="1" s="1"/>
  <c r="A6" i="1" s="1"/>
  <c r="A7" i="1" s="1"/>
  <c r="A8" i="1" s="1"/>
  <c r="A9" i="1" s="1"/>
  <c r="A10" i="1" s="1"/>
  <c r="A11" i="1" s="1"/>
  <c r="A3" i="1"/>
  <c r="D106" i="24" l="1"/>
  <c r="T13" i="8"/>
  <c r="S13" i="8"/>
  <c r="G6" i="9"/>
  <c r="F6" i="9"/>
  <c r="G29" i="6"/>
  <c r="C48" i="24"/>
  <c r="R38" i="6"/>
  <c r="F120" i="24" s="1"/>
  <c r="P23" i="8"/>
  <c r="P25" i="8" s="1"/>
  <c r="F13" i="9"/>
  <c r="P23" i="5"/>
  <c r="P25" i="5" s="1"/>
  <c r="O41" i="6"/>
  <c r="I56" i="24" s="1"/>
  <c r="S37" i="8"/>
  <c r="C119" i="24"/>
  <c r="F39" i="6"/>
  <c r="F47" i="24"/>
  <c r="E9" i="4"/>
  <c r="F9" i="4" s="1"/>
  <c r="L29" i="5"/>
  <c r="E73" i="24" s="1"/>
  <c r="C73" i="24"/>
  <c r="D73" i="24" s="1"/>
  <c r="L41" i="5"/>
  <c r="I73" i="24" s="1"/>
  <c r="H23" i="6"/>
  <c r="H25" i="6" s="1"/>
  <c r="G39" i="6"/>
  <c r="F48" i="24"/>
  <c r="R21" i="5"/>
  <c r="G68" i="24"/>
  <c r="M41" i="5"/>
  <c r="I74" i="24" s="1"/>
  <c r="D14" i="6"/>
  <c r="I29" i="6"/>
  <c r="E50" i="24" s="1"/>
  <c r="C50" i="24"/>
  <c r="H39" i="6"/>
  <c r="F49" i="24"/>
  <c r="R32" i="6"/>
  <c r="G51" i="24"/>
  <c r="P41" i="6"/>
  <c r="I57" i="24" s="1"/>
  <c r="R37" i="6"/>
  <c r="F119" i="24" s="1"/>
  <c r="O23" i="7"/>
  <c r="O25" i="7" s="1"/>
  <c r="B36" i="3"/>
  <c r="C103" i="24"/>
  <c r="C113" i="24"/>
  <c r="C14" i="9"/>
  <c r="E14" i="9" s="1"/>
  <c r="N41" i="5"/>
  <c r="I75" i="24" s="1"/>
  <c r="R14" i="6"/>
  <c r="J29" i="6"/>
  <c r="C51" i="24"/>
  <c r="I39" i="6"/>
  <c r="F50" i="24"/>
  <c r="C23" i="8"/>
  <c r="S31" i="8"/>
  <c r="S38" i="8"/>
  <c r="C120" i="24"/>
  <c r="O41" i="5"/>
  <c r="I76" i="24" s="1"/>
  <c r="K29" i="6"/>
  <c r="C52" i="24"/>
  <c r="R39" i="8"/>
  <c r="S39" i="8" s="1"/>
  <c r="M44" i="8"/>
  <c r="F48" i="7" s="1"/>
  <c r="F8" i="9"/>
  <c r="E11" i="4"/>
  <c r="F11" i="4" s="1"/>
  <c r="P41" i="5"/>
  <c r="I77" i="24" s="1"/>
  <c r="L29" i="6"/>
  <c r="E53" i="24" s="1"/>
  <c r="C53" i="24"/>
  <c r="D53" i="24" s="1"/>
  <c r="T20" i="6"/>
  <c r="K39" i="6"/>
  <c r="F52" i="24"/>
  <c r="G54" i="24"/>
  <c r="S32" i="8"/>
  <c r="B37" i="3"/>
  <c r="C114" i="24"/>
  <c r="C104" i="24"/>
  <c r="J39" i="6"/>
  <c r="F51" i="24"/>
  <c r="M29" i="6"/>
  <c r="C54" i="24"/>
  <c r="L39" i="6"/>
  <c r="F53" i="24"/>
  <c r="R35" i="6"/>
  <c r="F117" i="24" s="1"/>
  <c r="E41" i="6"/>
  <c r="I46" i="24" s="1"/>
  <c r="D14" i="8"/>
  <c r="G23" i="8"/>
  <c r="G25" i="8" s="1"/>
  <c r="G29" i="8" s="1"/>
  <c r="G40" i="8" s="1"/>
  <c r="T19" i="8"/>
  <c r="S33" i="8"/>
  <c r="B38" i="3"/>
  <c r="C105" i="24"/>
  <c r="C115" i="24"/>
  <c r="E9" i="9"/>
  <c r="O29" i="6"/>
  <c r="C56" i="24"/>
  <c r="N39" i="6"/>
  <c r="F55" i="24"/>
  <c r="G57" i="24"/>
  <c r="G41" i="6"/>
  <c r="I48" i="24" s="1"/>
  <c r="C14" i="4"/>
  <c r="C15" i="4" s="1"/>
  <c r="E13" i="4"/>
  <c r="F13" i="4" s="1"/>
  <c r="E23" i="5"/>
  <c r="E25" i="5" s="1"/>
  <c r="C66" i="24" s="1"/>
  <c r="G75" i="24"/>
  <c r="E41" i="5"/>
  <c r="I66" i="24" s="1"/>
  <c r="P23" i="6"/>
  <c r="P25" i="6" s="1"/>
  <c r="O39" i="6"/>
  <c r="F56" i="24"/>
  <c r="R34" i="6"/>
  <c r="F116" i="24" s="1"/>
  <c r="H41" i="6"/>
  <c r="I49" i="24" s="1"/>
  <c r="J23" i="8"/>
  <c r="J25" i="8" s="1"/>
  <c r="S20" i="8"/>
  <c r="K29" i="8"/>
  <c r="K40" i="8" s="1"/>
  <c r="C12" i="24"/>
  <c r="E12" i="24" s="1"/>
  <c r="M39" i="6"/>
  <c r="F54" i="24"/>
  <c r="R10" i="5"/>
  <c r="G77" i="24"/>
  <c r="G41" i="5"/>
  <c r="I68" i="24" s="1"/>
  <c r="T13" i="6"/>
  <c r="T17" i="6"/>
  <c r="J41" i="6"/>
  <c r="I51" i="24" s="1"/>
  <c r="T20" i="7"/>
  <c r="L23" i="8"/>
  <c r="L25" i="8" s="1"/>
  <c r="O39" i="5"/>
  <c r="F76" i="24"/>
  <c r="F78" i="24" s="1"/>
  <c r="H41" i="5"/>
  <c r="I69" i="24" s="1"/>
  <c r="C23" i="6"/>
  <c r="G46" i="24"/>
  <c r="K41" i="6"/>
  <c r="I52" i="24" s="1"/>
  <c r="M23" i="8"/>
  <c r="M25" i="8" s="1"/>
  <c r="T27" i="8"/>
  <c r="S35" i="8"/>
  <c r="C117" i="24"/>
  <c r="E11" i="9"/>
  <c r="D14" i="4"/>
  <c r="D15" i="4" s="1"/>
  <c r="G76" i="24"/>
  <c r="F41" i="5"/>
  <c r="I67" i="24" s="1"/>
  <c r="P39" i="6"/>
  <c r="F57" i="24"/>
  <c r="R33" i="6"/>
  <c r="H46" i="24"/>
  <c r="H58" i="24" s="1"/>
  <c r="I41" i="6"/>
  <c r="I50" i="24" s="1"/>
  <c r="N23" i="5"/>
  <c r="N25" i="5" s="1"/>
  <c r="H78" i="24"/>
  <c r="I41" i="5"/>
  <c r="I70" i="24" s="1"/>
  <c r="E23" i="6"/>
  <c r="E25" i="6" s="1"/>
  <c r="C46" i="24" s="1"/>
  <c r="D10" i="20"/>
  <c r="H56" i="13"/>
  <c r="J56" i="13" s="1"/>
  <c r="D34" i="25" s="1"/>
  <c r="N29" i="6"/>
  <c r="C55" i="24"/>
  <c r="L41" i="6"/>
  <c r="I53" i="24" s="1"/>
  <c r="N29" i="8"/>
  <c r="N40" i="8" s="1"/>
  <c r="C15" i="24"/>
  <c r="E15" i="24" s="1"/>
  <c r="O23" i="5"/>
  <c r="O25" i="5" s="1"/>
  <c r="J41" i="5"/>
  <c r="I71" i="24" s="1"/>
  <c r="F23" i="6"/>
  <c r="F25" i="6" s="1"/>
  <c r="T18" i="6"/>
  <c r="R31" i="6"/>
  <c r="F46" i="24"/>
  <c r="F58" i="24" s="1"/>
  <c r="G48" i="24"/>
  <c r="M41" i="6"/>
  <c r="I54" i="24" s="1"/>
  <c r="L23" i="7"/>
  <c r="L25" i="7" s="1"/>
  <c r="L29" i="7" s="1"/>
  <c r="O23" i="8"/>
  <c r="O25" i="8" s="1"/>
  <c r="S28" i="8"/>
  <c r="S36" i="8"/>
  <c r="C118" i="24"/>
  <c r="E12" i="9"/>
  <c r="G12" i="9" s="1"/>
  <c r="J5" i="15"/>
  <c r="D7" i="15"/>
  <c r="D6" i="15"/>
  <c r="J4" i="15"/>
  <c r="F6" i="15"/>
  <c r="C101" i="15"/>
  <c r="C6" i="15"/>
  <c r="C7" i="15" s="1"/>
  <c r="D13" i="25"/>
  <c r="G53" i="13"/>
  <c r="D14" i="25"/>
  <c r="H53" i="13"/>
  <c r="E30" i="14" s="1"/>
  <c r="E36" i="14" s="1"/>
  <c r="H60" i="13" s="1"/>
  <c r="J24" i="13"/>
  <c r="J25" i="13" s="1"/>
  <c r="D30" i="14"/>
  <c r="D36" i="14" s="1"/>
  <c r="G60" i="13" s="1"/>
  <c r="N39" i="5"/>
  <c r="R34" i="5"/>
  <c r="G116" i="24" s="1"/>
  <c r="S13" i="5"/>
  <c r="Q14" i="5"/>
  <c r="R11" i="5"/>
  <c r="S30" i="5"/>
  <c r="R33" i="5"/>
  <c r="E39" i="5"/>
  <c r="R32" i="5"/>
  <c r="R38" i="5"/>
  <c r="G120" i="24" s="1"/>
  <c r="R35" i="5"/>
  <c r="G117" i="24" s="1"/>
  <c r="T19" i="5"/>
  <c r="J39" i="5"/>
  <c r="R36" i="5"/>
  <c r="G118" i="24" s="1"/>
  <c r="S28" i="5"/>
  <c r="F39" i="5"/>
  <c r="G39" i="5"/>
  <c r="H39" i="5"/>
  <c r="S19" i="5"/>
  <c r="J23" i="5"/>
  <c r="J25" i="5" s="1"/>
  <c r="T20" i="5"/>
  <c r="S24" i="5"/>
  <c r="K39" i="5"/>
  <c r="T13" i="5"/>
  <c r="I39" i="5"/>
  <c r="I23" i="5"/>
  <c r="I25" i="5" s="1"/>
  <c r="K23" i="5"/>
  <c r="K25" i="5" s="1"/>
  <c r="L39" i="5"/>
  <c r="L40" i="5" s="1"/>
  <c r="P39" i="5"/>
  <c r="D14" i="5"/>
  <c r="R37" i="5"/>
  <c r="G119" i="24" s="1"/>
  <c r="G14" i="5"/>
  <c r="G23" i="5" s="1"/>
  <c r="G25" i="5" s="1"/>
  <c r="H23" i="5"/>
  <c r="H25" i="5" s="1"/>
  <c r="M39" i="5"/>
  <c r="R28" i="7"/>
  <c r="S28" i="7" s="1"/>
  <c r="F53" i="7"/>
  <c r="J11" i="2" s="1"/>
  <c r="S34" i="7"/>
  <c r="S35" i="7"/>
  <c r="T11" i="7"/>
  <c r="S38" i="7"/>
  <c r="K14" i="7"/>
  <c r="K23" i="7" s="1"/>
  <c r="K25" i="7" s="1"/>
  <c r="K29" i="7" s="1"/>
  <c r="S24" i="7"/>
  <c r="S32" i="7"/>
  <c r="C37" i="3"/>
  <c r="T12" i="7"/>
  <c r="N29" i="7"/>
  <c r="C35" i="24"/>
  <c r="R39" i="7"/>
  <c r="S39" i="7" s="1"/>
  <c r="F49" i="7"/>
  <c r="F50" i="7" s="1"/>
  <c r="P29" i="7"/>
  <c r="C37" i="24"/>
  <c r="S13" i="7"/>
  <c r="C33" i="24"/>
  <c r="M29" i="7"/>
  <c r="C34" i="24"/>
  <c r="O29" i="7"/>
  <c r="C36" i="24"/>
  <c r="C23" i="7"/>
  <c r="E23" i="7"/>
  <c r="E25" i="7" s="1"/>
  <c r="C26" i="24" s="1"/>
  <c r="D21" i="7"/>
  <c r="C36" i="3"/>
  <c r="S33" i="7"/>
  <c r="C38" i="3"/>
  <c r="T17" i="7"/>
  <c r="F23" i="7"/>
  <c r="F25" i="7" s="1"/>
  <c r="C32" i="24"/>
  <c r="Q18" i="7"/>
  <c r="S18" i="7" s="1"/>
  <c r="G23" i="7"/>
  <c r="G25" i="7" s="1"/>
  <c r="H23" i="7"/>
  <c r="H25" i="7" s="1"/>
  <c r="S36" i="7"/>
  <c r="I23" i="7"/>
  <c r="I25" i="7" s="1"/>
  <c r="S11" i="7"/>
  <c r="J23" i="7"/>
  <c r="J25" i="7" s="1"/>
  <c r="S20" i="7"/>
  <c r="S31" i="7"/>
  <c r="S37" i="7"/>
  <c r="B13" i="3"/>
  <c r="C13" i="3"/>
  <c r="D13" i="3"/>
  <c r="I43" i="13"/>
  <c r="I45" i="13" s="1"/>
  <c r="S35" i="6"/>
  <c r="E9" i="3"/>
  <c r="E29" i="8"/>
  <c r="R25" i="8"/>
  <c r="S25" i="8" s="1"/>
  <c r="S10" i="5"/>
  <c r="T10" i="5"/>
  <c r="E29" i="5"/>
  <c r="E66" i="24" s="1"/>
  <c r="T17" i="5"/>
  <c r="S17" i="5"/>
  <c r="Q21" i="5"/>
  <c r="T21" i="5" s="1"/>
  <c r="F8" i="3"/>
  <c r="S12" i="6"/>
  <c r="T19" i="6"/>
  <c r="T12" i="8"/>
  <c r="S12" i="5"/>
  <c r="T12" i="5"/>
  <c r="I40" i="6"/>
  <c r="Q21" i="6"/>
  <c r="E11" i="3"/>
  <c r="S37" i="6"/>
  <c r="Q23" i="5"/>
  <c r="F9" i="3"/>
  <c r="T19" i="7"/>
  <c r="S19" i="7"/>
  <c r="G11" i="9"/>
  <c r="F11" i="9"/>
  <c r="T18" i="5"/>
  <c r="S31" i="6"/>
  <c r="E5" i="3"/>
  <c r="S34" i="6"/>
  <c r="E8" i="3"/>
  <c r="Q21" i="8"/>
  <c r="T17" i="8"/>
  <c r="S17" i="8"/>
  <c r="S27" i="5"/>
  <c r="L40" i="6"/>
  <c r="E10" i="3"/>
  <c r="S36" i="6"/>
  <c r="Q14" i="7"/>
  <c r="R25" i="6"/>
  <c r="S25" i="6" s="1"/>
  <c r="E29" i="6"/>
  <c r="E46" i="24" s="1"/>
  <c r="S32" i="6"/>
  <c r="E6" i="3"/>
  <c r="E7" i="3"/>
  <c r="S33" i="6"/>
  <c r="T10" i="7"/>
  <c r="R14" i="7"/>
  <c r="S10" i="7"/>
  <c r="S11" i="8"/>
  <c r="Q14" i="8"/>
  <c r="T11" i="8"/>
  <c r="G9" i="9"/>
  <c r="F9" i="9"/>
  <c r="T27" i="6"/>
  <c r="E12" i="3"/>
  <c r="S38" i="6"/>
  <c r="T18" i="8"/>
  <c r="E6" i="4"/>
  <c r="M14" i="5"/>
  <c r="M23" i="5" s="1"/>
  <c r="M25" i="5" s="1"/>
  <c r="S18" i="5"/>
  <c r="Q10" i="6"/>
  <c r="S10" i="6" s="1"/>
  <c r="S14" i="6" s="1"/>
  <c r="T11" i="6"/>
  <c r="S17" i="6"/>
  <c r="R21" i="6"/>
  <c r="T21" i="6" s="1"/>
  <c r="R21" i="8"/>
  <c r="F14" i="5"/>
  <c r="F23" i="5" s="1"/>
  <c r="F25" i="5" s="1"/>
  <c r="R31" i="5"/>
  <c r="S13" i="6"/>
  <c r="E39" i="6"/>
  <c r="S20" i="5"/>
  <c r="C27" i="5"/>
  <c r="S19" i="6"/>
  <c r="D21" i="6"/>
  <c r="D23" i="6" s="1"/>
  <c r="S12" i="7"/>
  <c r="D14" i="7"/>
  <c r="S27" i="7"/>
  <c r="S10" i="8"/>
  <c r="S14" i="8" s="1"/>
  <c r="R14" i="8"/>
  <c r="S19" i="8"/>
  <c r="D21" i="8"/>
  <c r="D23" i="8" s="1"/>
  <c r="S27" i="8"/>
  <c r="C15" i="9"/>
  <c r="E10" i="9"/>
  <c r="G10" i="9" s="1"/>
  <c r="D15" i="9"/>
  <c r="E15" i="9" s="1"/>
  <c r="G15" i="9" s="1"/>
  <c r="D21" i="5"/>
  <c r="D23" i="5" s="1"/>
  <c r="S18" i="8"/>
  <c r="E7" i="9"/>
  <c r="G7" i="9" s="1"/>
  <c r="S17" i="7"/>
  <c r="R21" i="7"/>
  <c r="G78" i="24" l="1"/>
  <c r="G14" i="9"/>
  <c r="F14" i="9"/>
  <c r="O29" i="5"/>
  <c r="C76" i="24"/>
  <c r="E105" i="24"/>
  <c r="F115" i="24"/>
  <c r="D38" i="3"/>
  <c r="D50" i="24"/>
  <c r="J29" i="8"/>
  <c r="J40" i="8" s="1"/>
  <c r="C11" i="24"/>
  <c r="D54" i="24"/>
  <c r="J40" i="6"/>
  <c r="E51" i="24"/>
  <c r="D51" i="24" s="1"/>
  <c r="F7" i="9"/>
  <c r="M29" i="5"/>
  <c r="C74" i="24"/>
  <c r="D66" i="24"/>
  <c r="M40" i="6"/>
  <c r="E54" i="24"/>
  <c r="E15" i="4"/>
  <c r="L29" i="8"/>
  <c r="L40" i="8" s="1"/>
  <c r="C13" i="24"/>
  <c r="E13" i="24" s="1"/>
  <c r="O40" i="6"/>
  <c r="E56" i="24"/>
  <c r="D56" i="24" s="1"/>
  <c r="K29" i="5"/>
  <c r="C72" i="24"/>
  <c r="I29" i="5"/>
  <c r="C70" i="24"/>
  <c r="N40" i="6"/>
  <c r="E55" i="24"/>
  <c r="D55" i="24" s="1"/>
  <c r="C121" i="24"/>
  <c r="P29" i="5"/>
  <c r="E77" i="24" s="1"/>
  <c r="C77" i="24"/>
  <c r="O29" i="8"/>
  <c r="O40" i="8" s="1"/>
  <c r="C16" i="24"/>
  <c r="E16" i="24" s="1"/>
  <c r="P29" i="6"/>
  <c r="C57" i="24"/>
  <c r="K40" i="6"/>
  <c r="E52" i="24"/>
  <c r="D52" i="24" s="1"/>
  <c r="C106" i="24"/>
  <c r="I78" i="24"/>
  <c r="B39" i="3"/>
  <c r="P29" i="8"/>
  <c r="P40" i="8" s="1"/>
  <c r="C17" i="24"/>
  <c r="E17" i="24" s="1"/>
  <c r="F12" i="9"/>
  <c r="R39" i="6"/>
  <c r="D43" i="6"/>
  <c r="K11" i="2" s="1"/>
  <c r="F104" i="24"/>
  <c r="G114" i="24"/>
  <c r="S37" i="5"/>
  <c r="G113" i="24"/>
  <c r="F103" i="24"/>
  <c r="F7" i="3"/>
  <c r="F105" i="24"/>
  <c r="G115" i="24"/>
  <c r="D46" i="24"/>
  <c r="H29" i="6"/>
  <c r="C49" i="24"/>
  <c r="G40" i="6"/>
  <c r="E48" i="24"/>
  <c r="D48" i="24" s="1"/>
  <c r="J29" i="5"/>
  <c r="E71" i="24" s="1"/>
  <c r="C71" i="24"/>
  <c r="R14" i="5"/>
  <c r="D36" i="3"/>
  <c r="F113" i="24"/>
  <c r="E103" i="24"/>
  <c r="G103" i="24" s="1"/>
  <c r="M29" i="8"/>
  <c r="M40" i="8" s="1"/>
  <c r="C14" i="24"/>
  <c r="E14" i="24" s="1"/>
  <c r="F29" i="5"/>
  <c r="E67" i="24" s="1"/>
  <c r="C67" i="24"/>
  <c r="D67" i="24" s="1"/>
  <c r="N29" i="5"/>
  <c r="C75" i="24"/>
  <c r="I58" i="24"/>
  <c r="E104" i="24"/>
  <c r="G104" i="24" s="1"/>
  <c r="F114" i="24"/>
  <c r="D37" i="3"/>
  <c r="S21" i="6"/>
  <c r="S23" i="6" s="1"/>
  <c r="S11" i="5"/>
  <c r="S34" i="5"/>
  <c r="H29" i="5"/>
  <c r="C69" i="24"/>
  <c r="F29" i="6"/>
  <c r="C47" i="24"/>
  <c r="G58" i="24"/>
  <c r="T21" i="8"/>
  <c r="Q23" i="8"/>
  <c r="T11" i="5"/>
  <c r="G29" i="5"/>
  <c r="C68" i="24"/>
  <c r="H6" i="15"/>
  <c r="G6" i="15"/>
  <c r="F7" i="15"/>
  <c r="D15" i="25"/>
  <c r="I53" i="13"/>
  <c r="F30" i="14" s="1"/>
  <c r="G30" i="14" s="1"/>
  <c r="S35" i="5"/>
  <c r="S33" i="5"/>
  <c r="R39" i="5"/>
  <c r="F107" i="24" s="1"/>
  <c r="E36" i="3"/>
  <c r="F12" i="3"/>
  <c r="J40" i="5"/>
  <c r="F40" i="5"/>
  <c r="F11" i="3"/>
  <c r="E37" i="3"/>
  <c r="E38" i="3"/>
  <c r="F6" i="3"/>
  <c r="S36" i="5"/>
  <c r="S32" i="5"/>
  <c r="D45" i="5"/>
  <c r="S38" i="5"/>
  <c r="F10" i="3"/>
  <c r="D23" i="7"/>
  <c r="P40" i="7"/>
  <c r="E37" i="24"/>
  <c r="D37" i="24" s="1"/>
  <c r="C39" i="3"/>
  <c r="I11" i="2"/>
  <c r="J29" i="7"/>
  <c r="C31" i="24"/>
  <c r="S21" i="7"/>
  <c r="Q21" i="7"/>
  <c r="T21" i="7" s="1"/>
  <c r="I29" i="7"/>
  <c r="C30" i="24"/>
  <c r="L40" i="7"/>
  <c r="E33" i="24"/>
  <c r="D33" i="24" s="1"/>
  <c r="T18" i="7"/>
  <c r="F29" i="7"/>
  <c r="C27" i="24"/>
  <c r="M40" i="7"/>
  <c r="E34" i="24"/>
  <c r="D34" i="24" s="1"/>
  <c r="N40" i="7"/>
  <c r="E35" i="24"/>
  <c r="D35" i="24" s="1"/>
  <c r="O40" i="7"/>
  <c r="E36" i="24"/>
  <c r="D36" i="24" s="1"/>
  <c r="S14" i="7"/>
  <c r="H29" i="7"/>
  <c r="C29" i="24"/>
  <c r="E29" i="7"/>
  <c r="E26" i="24" s="1"/>
  <c r="G29" i="7"/>
  <c r="C28" i="24"/>
  <c r="R25" i="7"/>
  <c r="S25" i="7" s="1"/>
  <c r="K40" i="7"/>
  <c r="E32" i="24"/>
  <c r="D32" i="24" s="1"/>
  <c r="E12" i="2"/>
  <c r="J43" i="13"/>
  <c r="T14" i="8"/>
  <c r="R23" i="8"/>
  <c r="T14" i="5"/>
  <c r="R23" i="5"/>
  <c r="T23" i="5" s="1"/>
  <c r="S14" i="5"/>
  <c r="T10" i="6"/>
  <c r="Q14" i="6"/>
  <c r="E13" i="3"/>
  <c r="S21" i="5"/>
  <c r="F10" i="9"/>
  <c r="F15" i="9"/>
  <c r="F5" i="3"/>
  <c r="S31" i="5"/>
  <c r="R29" i="6"/>
  <c r="S29" i="6" s="1"/>
  <c r="E40" i="6"/>
  <c r="E40" i="8"/>
  <c r="F6" i="4"/>
  <c r="E14" i="4"/>
  <c r="F14" i="4" s="1"/>
  <c r="R23" i="6"/>
  <c r="R25" i="5"/>
  <c r="S25" i="5" s="1"/>
  <c r="T14" i="7"/>
  <c r="R23" i="7"/>
  <c r="S21" i="8"/>
  <c r="S23" i="8" s="1"/>
  <c r="E40" i="5"/>
  <c r="E39" i="3" l="1"/>
  <c r="F121" i="24"/>
  <c r="D16" i="25"/>
  <c r="D28" i="25" s="1"/>
  <c r="G105" i="24"/>
  <c r="C58" i="24"/>
  <c r="C94" i="24" s="1"/>
  <c r="G40" i="5"/>
  <c r="E68" i="24"/>
  <c r="F106" i="24"/>
  <c r="E57" i="24"/>
  <c r="D57" i="24" s="1"/>
  <c r="P40" i="6"/>
  <c r="D75" i="24"/>
  <c r="E11" i="24"/>
  <c r="E18" i="24" s="1"/>
  <c r="C18" i="24"/>
  <c r="D19" i="24" s="1"/>
  <c r="S39" i="6"/>
  <c r="E107" i="24"/>
  <c r="R29" i="5"/>
  <c r="S29" i="5" s="1"/>
  <c r="D47" i="24"/>
  <c r="C78" i="24"/>
  <c r="C95" i="24" s="1"/>
  <c r="F40" i="6"/>
  <c r="E47" i="24"/>
  <c r="P40" i="5"/>
  <c r="S39" i="5"/>
  <c r="E75" i="24"/>
  <c r="N40" i="5"/>
  <c r="E76" i="24"/>
  <c r="D76" i="24" s="1"/>
  <c r="O40" i="5"/>
  <c r="D77" i="24"/>
  <c r="E49" i="24"/>
  <c r="D49" i="24" s="1"/>
  <c r="H40" i="6"/>
  <c r="H40" i="5"/>
  <c r="E69" i="24"/>
  <c r="D69" i="24" s="1"/>
  <c r="D39" i="3"/>
  <c r="D70" i="24"/>
  <c r="I40" i="5"/>
  <c r="E70" i="24"/>
  <c r="M40" i="5"/>
  <c r="E74" i="24"/>
  <c r="D74" i="24" s="1"/>
  <c r="F15" i="4"/>
  <c r="D71" i="24"/>
  <c r="G121" i="24"/>
  <c r="R29" i="8"/>
  <c r="S29" i="8" s="1"/>
  <c r="S40" i="8" s="1"/>
  <c r="T23" i="8"/>
  <c r="D68" i="24"/>
  <c r="E106" i="24"/>
  <c r="G106" i="24" s="1"/>
  <c r="K40" i="5"/>
  <c r="E72" i="24"/>
  <c r="D72" i="24" s="1"/>
  <c r="G7" i="15"/>
  <c r="G58" i="13" s="1"/>
  <c r="E6" i="15"/>
  <c r="E7" i="15" s="1"/>
  <c r="H7" i="15"/>
  <c r="H58" i="13" s="1"/>
  <c r="I6" i="15"/>
  <c r="I7" i="15" s="1"/>
  <c r="I58" i="13" s="1"/>
  <c r="F36" i="14"/>
  <c r="G36" i="14" s="1"/>
  <c r="J45" i="13"/>
  <c r="J53" i="13" s="1"/>
  <c r="D26" i="24"/>
  <c r="S23" i="5"/>
  <c r="L11" i="2"/>
  <c r="M11" i="2" s="1"/>
  <c r="F13" i="3"/>
  <c r="S23" i="7"/>
  <c r="Q23" i="7"/>
  <c r="T23" i="7" s="1"/>
  <c r="C38" i="24"/>
  <c r="C93" i="24" s="1"/>
  <c r="G40" i="7"/>
  <c r="E28" i="24"/>
  <c r="D28" i="24" s="1"/>
  <c r="H40" i="7"/>
  <c r="E29" i="24"/>
  <c r="D29" i="24" s="1"/>
  <c r="J40" i="7"/>
  <c r="E31" i="24"/>
  <c r="G6" i="13" s="1"/>
  <c r="I40" i="7"/>
  <c r="E30" i="24"/>
  <c r="D30" i="24" s="1"/>
  <c r="E40" i="7"/>
  <c r="K12" i="2"/>
  <c r="J12" i="2"/>
  <c r="R29" i="7"/>
  <c r="R40" i="7" s="1"/>
  <c r="F40" i="7"/>
  <c r="E27" i="24"/>
  <c r="D27" i="24" s="1"/>
  <c r="E11" i="2"/>
  <c r="E13" i="2" s="1"/>
  <c r="E14" i="2" s="1"/>
  <c r="E15" i="2"/>
  <c r="F15" i="2" s="1"/>
  <c r="F43" i="2" s="1"/>
  <c r="F45" i="2" s="1"/>
  <c r="R40" i="8"/>
  <c r="Q23" i="6"/>
  <c r="T23" i="6" s="1"/>
  <c r="T14" i="6"/>
  <c r="E78" i="24" l="1"/>
  <c r="D58" i="24"/>
  <c r="D59" i="24" s="1"/>
  <c r="H103" i="24"/>
  <c r="H105" i="24"/>
  <c r="H104" i="24"/>
  <c r="D78" i="24"/>
  <c r="D79" i="24" s="1"/>
  <c r="I6" i="13"/>
  <c r="D95" i="24"/>
  <c r="E79" i="24"/>
  <c r="G79" i="24"/>
  <c r="F79" i="24"/>
  <c r="H79" i="24"/>
  <c r="I79" i="24"/>
  <c r="J58" i="13"/>
  <c r="D36" i="25" s="1"/>
  <c r="G19" i="24"/>
  <c r="H19" i="24"/>
  <c r="I19" i="24"/>
  <c r="F19" i="24"/>
  <c r="E19" i="24"/>
  <c r="E58" i="24"/>
  <c r="J7" i="15"/>
  <c r="J6" i="15"/>
  <c r="I60" i="13"/>
  <c r="F6" i="13"/>
  <c r="F7" i="13" s="1"/>
  <c r="G7" i="13" s="1"/>
  <c r="H7" i="13" s="1"/>
  <c r="D31" i="24"/>
  <c r="S29" i="7"/>
  <c r="S40" i="7" s="1"/>
  <c r="D38" i="24"/>
  <c r="D39" i="24" s="1"/>
  <c r="E38" i="24"/>
  <c r="J13" i="2"/>
  <c r="K13" i="2"/>
  <c r="L12" i="2"/>
  <c r="L13" i="2" s="1"/>
  <c r="E16" i="2"/>
  <c r="H6" i="13" l="1"/>
  <c r="J6" i="13" s="1"/>
  <c r="E59" i="24"/>
  <c r="D94" i="24"/>
  <c r="E94" i="24" s="1"/>
  <c r="H59" i="24"/>
  <c r="F59" i="24"/>
  <c r="G59" i="24"/>
  <c r="I59" i="24"/>
  <c r="J60" i="13"/>
  <c r="G8" i="13"/>
  <c r="F8" i="13"/>
  <c r="M12" i="2"/>
  <c r="M13" i="2" s="1"/>
  <c r="M15" i="2"/>
  <c r="M14" i="2"/>
  <c r="I7" i="13"/>
  <c r="L14" i="2"/>
  <c r="L15" i="2"/>
  <c r="K15" i="2"/>
  <c r="K14" i="2"/>
  <c r="J15" i="2"/>
  <c r="J14" i="2"/>
  <c r="G39" i="24"/>
  <c r="E39" i="24"/>
  <c r="F39" i="24"/>
  <c r="I39" i="24"/>
  <c r="H39" i="24"/>
  <c r="H8" i="13" l="1"/>
  <c r="E95" i="24"/>
  <c r="F95" i="24" s="1"/>
  <c r="D37" i="25"/>
  <c r="G12" i="13"/>
  <c r="G10" i="13"/>
  <c r="G11" i="13"/>
  <c r="H12" i="13"/>
  <c r="H11" i="13"/>
  <c r="H10" i="13"/>
  <c r="L16" i="2"/>
  <c r="K16" i="2"/>
  <c r="M16" i="2"/>
  <c r="J16" i="2"/>
  <c r="I8" i="13"/>
  <c r="J7" i="13"/>
  <c r="J8" i="13" s="1"/>
  <c r="G13" i="13" l="1"/>
  <c r="G14" i="13" s="1"/>
  <c r="G63" i="13"/>
  <c r="G51" i="13"/>
  <c r="G54" i="13" s="1"/>
  <c r="I12" i="13"/>
  <c r="J12" i="13" s="1"/>
  <c r="I11" i="13"/>
  <c r="J11" i="13" s="1"/>
  <c r="I10" i="13"/>
  <c r="H13" i="13"/>
  <c r="H14" i="13" l="1"/>
  <c r="H63" i="13"/>
  <c r="H65" i="13" s="1"/>
  <c r="H51" i="13"/>
  <c r="H54" i="13" s="1"/>
  <c r="D7" i="25"/>
  <c r="D8" i="25"/>
  <c r="I13" i="13"/>
  <c r="J10" i="13"/>
  <c r="I14" i="13" l="1"/>
  <c r="I63" i="13"/>
  <c r="I65" i="13" s="1"/>
  <c r="I51" i="13"/>
  <c r="I54" i="13" s="1"/>
  <c r="J13" i="13"/>
  <c r="J51" i="13" l="1"/>
  <c r="J54" i="13" s="1"/>
  <c r="J63" i="13"/>
  <c r="D6" i="25"/>
  <c r="D9" i="25" s="1"/>
  <c r="D38" i="25"/>
  <c r="J14" i="13"/>
  <c r="D26" i="25" l="1"/>
  <c r="D29" i="25" s="1"/>
  <c r="C20" i="14" l="1"/>
  <c r="G65" i="13" l="1"/>
  <c r="J59" i="13"/>
  <c r="D33" i="25" l="1"/>
  <c r="D41" i="25" s="1"/>
  <c r="D42" i="25" s="1"/>
  <c r="J65" i="13"/>
  <c r="J66"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Taiwo Oyedele</author>
    <author>MAC</author>
  </authors>
  <commentList>
    <comment ref="F6" authorId="0" shapeId="0" xr:uid="{2A7CD40A-48CE-2B4C-A201-71A685793A41}">
      <text>
        <r>
          <rPr>
            <sz val="10"/>
            <color rgb="FF000000"/>
            <rFont val="Tahoma"/>
            <family val="2"/>
          </rPr>
          <t>12 months pre subsidy removal</t>
        </r>
      </text>
    </comment>
    <comment ref="G6" authorId="0" shapeId="0" xr:uid="{57F445BC-1C29-8540-9290-CF49DF0E9FAD}">
      <text>
        <r>
          <rPr>
            <sz val="10"/>
            <color rgb="FF000000"/>
            <rFont val="Tahoma"/>
            <family val="2"/>
          </rPr>
          <t xml:space="preserve">7 months actual FAAC revenue
</t>
        </r>
      </text>
    </comment>
    <comment ref="D7" authorId="0" shapeId="0" xr:uid="{20C48E48-B247-A445-9F5F-6DACEDAA6C9D}">
      <text>
        <r>
          <rPr>
            <sz val="10"/>
            <color rgb="FF000000"/>
            <rFont val="Tahoma"/>
            <family val="2"/>
          </rPr>
          <t xml:space="preserve">Average Net FAAC Growth Rate from 2017 to 2022.
</t>
        </r>
      </text>
    </comment>
    <comment ref="G7" authorId="0" shapeId="0" xr:uid="{6EF3C260-9B0F-664F-9E30-802440A7E14D}">
      <text>
        <r>
          <rPr>
            <sz val="10"/>
            <color rgb="FF000000"/>
            <rFont val="Tahoma"/>
            <family val="2"/>
          </rPr>
          <t xml:space="preserve">12 months pre-subsidy removal revenue and growth rate prorated for 7 months
</t>
        </r>
      </text>
    </comment>
    <comment ref="H7" authorId="0" shapeId="0" xr:uid="{B6A2ED6B-DEC9-1F4D-9245-321B71FD4830}">
      <text>
        <r>
          <rPr>
            <sz val="10"/>
            <color rgb="FF000000"/>
            <rFont val="Tahoma"/>
            <family val="2"/>
          </rPr>
          <t xml:space="preserve">12 months pre-subsidy removal adjusted for normal growth rate at 10%
</t>
        </r>
      </text>
    </comment>
    <comment ref="I7" authorId="0" shapeId="0" xr:uid="{9B1E08B0-B763-844B-9CF6-0BEC596F54A5}">
      <text>
        <r>
          <rPr>
            <sz val="10"/>
            <color rgb="FF000000"/>
            <rFont val="Tahoma"/>
            <family val="2"/>
          </rPr>
          <t xml:space="preserve">Adjusted for 10% normal growth rate
</t>
        </r>
      </text>
    </comment>
    <comment ref="D24" authorId="0" shapeId="0" xr:uid="{196313FD-E208-AD4B-8324-7023307890BA}">
      <text>
        <r>
          <rPr>
            <sz val="10"/>
            <color rgb="FF000000"/>
            <rFont val="Tahoma"/>
            <family val="2"/>
          </rPr>
          <t>Average Net IGR Growth Rate pre reform.</t>
        </r>
      </text>
    </comment>
    <comment ref="G39" authorId="1" shapeId="0" xr:uid="{213080D1-B113-4F49-B390-AF2BF7A768C2}">
      <text>
        <r>
          <rPr>
            <sz val="10"/>
            <color rgb="FF000000"/>
            <rFont val="Tahoma"/>
            <family val="2"/>
          </rPr>
          <t xml:space="preserve">Securitised 22.7T
</t>
        </r>
      </text>
    </comment>
    <comment ref="H39" authorId="1" shapeId="0" xr:uid="{E96FA8A1-9B1B-854C-BB5C-53F5E88EE544}">
      <text>
        <r>
          <rPr>
            <sz val="10"/>
            <color rgb="FF000000"/>
            <rFont val="Tahoma"/>
            <family val="2"/>
          </rPr>
          <t xml:space="preserve">Additional N7T securitised.
</t>
        </r>
      </text>
    </comment>
    <comment ref="E59" authorId="0" shapeId="0" xr:uid="{784B1613-D118-D046-BD38-2514E1B7D5B1}">
      <text>
        <r>
          <rPr>
            <sz val="10"/>
            <color rgb="FF000000"/>
            <rFont val="Tahoma"/>
            <family val="2"/>
          </rPr>
          <t xml:space="preserve">Incremental higher interest rate on new borrowing and naira increase on external debts
</t>
        </r>
      </text>
    </comment>
    <comment ref="E60" authorId="0" shapeId="0" xr:uid="{B4B0DF8D-B183-1F45-8656-B9C166211106}">
      <text>
        <r>
          <rPr>
            <sz val="10"/>
            <color rgb="FF000000"/>
            <rFont val="Tahoma"/>
            <family val="2"/>
          </rPr>
          <t xml:space="preserve">Incremental higher interest rate on new borrowing and naira increase on external debts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Oluseun Akinrinoye</author>
    <author>tc={34CD9307-0DF9-4912-B6FE-DDC431C42215}</author>
    <author>tc={C32B7071-E64F-4008-B20E-EB14541A1779}</author>
    <author>tc={77945099-2E36-4244-8C12-774A6F7CFD8F}</author>
    <author>tc={2C956213-2225-4833-8BAF-EC501FA0E155}</author>
    <author>tc={18782559-23B0-894D-8F7C-458870CE757A}</author>
    <author>tc={797A7311-8F1F-8447-828F-9420519EC326}</author>
    <author>tc={64CEE5B3-4B9D-4464-BC3B-1FAA3BF4A993}</author>
    <author>tc={ADBD234E-DF27-451F-AAC1-E7951ABB3226}</author>
  </authors>
  <commentList>
    <comment ref="E11" authorId="0" shapeId="0" xr:uid="{7E40F4FD-F65B-4779-9B40-788BD21A1930}">
      <text>
        <r>
          <rPr>
            <b/>
            <sz val="9"/>
            <color rgb="FF000000"/>
            <rFont val="Tahoma"/>
            <family val="2"/>
          </rPr>
          <t>Oluseun Akinrinoye:</t>
        </r>
        <r>
          <rPr>
            <sz val="9"/>
            <color rgb="FF000000"/>
            <rFont val="Tahoma"/>
            <family val="2"/>
          </rPr>
          <t xml:space="preserve">
</t>
        </r>
        <r>
          <rPr>
            <sz val="9"/>
            <color rgb="FF000000"/>
            <rFont val="Tahoma"/>
            <family val="2"/>
          </rPr>
          <t>This is annualized average total revenue from FAAC using data from June 2023 to Dec 2025</t>
        </r>
      </text>
    </comment>
    <comment ref="E12" authorId="0" shapeId="0" xr:uid="{659D64AF-FBF5-470B-8CDC-E41416589D25}">
      <text>
        <r>
          <rPr>
            <b/>
            <sz val="9"/>
            <color rgb="FF000000"/>
            <rFont val="Tahoma"/>
            <family val="2"/>
          </rPr>
          <t>Oluseun Akinrinoye:</t>
        </r>
        <r>
          <rPr>
            <sz val="9"/>
            <color rgb="FF000000"/>
            <rFont val="Tahoma"/>
            <family val="2"/>
          </rPr>
          <t xml:space="preserve">
</t>
        </r>
        <r>
          <rPr>
            <sz val="9"/>
            <color rgb="FF000000"/>
            <rFont val="Tahoma"/>
            <family val="2"/>
          </rPr>
          <t xml:space="preserve">Annualized using Jan 22 - May 2023
</t>
        </r>
      </text>
    </comment>
    <comment ref="E24" authorId="1" shapeId="0" xr:uid="{34CD9307-0DF9-4912-B6FE-DDC431C42215}">
      <text>
        <t xml:space="preserve">[Threaded comment]
Your version of Excel allows you to read this threaded comment; however, any edits to it will get removed if the file is opened in a newer version of Excel. Learn more: https://go.microsoft.com/fwlink/?linkid=870924
Comment:
    This covers for past 3 years
</t>
      </text>
    </comment>
    <comment ref="E25" authorId="2" shapeId="0" xr:uid="{C32B7071-E64F-4008-B20E-EB14541A1779}">
      <text>
        <t xml:space="preserve">[Threaded comment]
Your version of Excel allows you to read this threaded comment; however, any edits to it will get removed if the file is opened in a newer version of Excel. Learn more: https://go.microsoft.com/fwlink/?linkid=870924
Comment:
    Total external borrowing for 2024 and 2025 was 1.76 trillion and 1.84 trillion. Used 1400 conversion as I await exact figures in USD from DMO.
</t>
      </text>
    </comment>
    <comment ref="E34" authorId="3" shapeId="0" xr:uid="{77945099-2E36-4244-8C12-774A6F7CFD8F}">
      <text>
        <t>[Threaded comment]
Your version of Excel allows you to read this threaded comment; however, any edits to it will get removed if the file is opened in a newer version of Excel. Learn more: https://go.microsoft.com/fwlink/?linkid=870924
Comment:
    This is approx, but can use exact numbers if I’m authorized to ask the DG all pending figures for this.</t>
      </text>
    </comment>
    <comment ref="E35" authorId="4" shapeId="0" xr:uid="{2C956213-2225-4833-8BAF-EC501FA0E155}">
      <text>
        <t>[Threaded comment]
Your version of Excel allows you to read this threaded comment; however, any edits to it will get removed if the file is opened in a newer version of Excel. Learn more: https://go.microsoft.com/fwlink/?linkid=870924
Comment:
    $51B represents the total external debt, and assumes CBN exchange rate was 400, but depends on as at what date we want to use.</t>
      </text>
    </comment>
    <comment ref="L38" authorId="5" shapeId="0" xr:uid="{18782559-23B0-894D-8F7C-458870CE757A}">
      <text>
        <t>[Threaded comment]
Your version of Excel allows you to read this threaded comment; however, any edits to it will get removed if the file is opened in a newer version of Excel. Learn more: https://go.microsoft.com/fwlink/?linkid=870924
Comment:
    This is approx, but can use exact numbers if I’m authorized to ask the DG all pending figures for this.</t>
      </text>
    </comment>
    <comment ref="L39" authorId="6" shapeId="0" xr:uid="{797A7311-8F1F-8447-828F-9420519EC326}">
      <text>
        <t>[Threaded comment]
Your version of Excel allows you to read this threaded comment; however, any edits to it will get removed if the file is opened in a newer version of Excel. Learn more: https://go.microsoft.com/fwlink/?linkid=870924
Comment:
    $51B represents the total external debt, and assumes CBN exchange rate was 400, but depends on as at what date we want to use.</t>
      </text>
    </comment>
    <comment ref="F45" authorId="7" shapeId="0" xr:uid="{64CEE5B3-4B9D-4464-BC3B-1FAA3BF4A993}">
      <text>
        <t>[Threaded comment]
Your version of Excel allows you to read this threaded comment; however, any edits to it will get removed if the file is opened in a newer version of Excel. Learn more: https://go.microsoft.com/fwlink/?linkid=870924
Comment:
    This is great insight. Invariably, ways and means securitization and exchnage rate adjustments numbers far outweighs incremental borrowings we have done which is a reason we have so many outstanding liabilities.</t>
      </text>
    </comment>
    <comment ref="E47" authorId="8" shapeId="0" xr:uid="{ADBD234E-DF27-451F-AAC1-E7951ABB3226}">
      <text>
        <t>[Threaded comment]
Your version of Excel allows you to read this threaded comment; however, any edits to it will get removed if the file is opened in a newer version of Excel. Learn more: https://go.microsoft.com/fwlink/?linkid=870924
Comment:
    This entire section is yet to be updated. I am not sure if you already got data for any part of this but I can start liasing with the relevant agencies to get the data if that is okay</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tc={CDBD0D1F-2ED4-4167-AA7D-2267CDD65DFE}</author>
  </authors>
  <commentList>
    <comment ref="B31" authorId="0" shapeId="0" xr:uid="{CDBD0D1F-2ED4-4167-AA7D-2267CDD65DFE}">
      <text>
        <t xml:space="preserve">[Threaded comment]
Your version of Excel allows you to read this threaded comment; however, any edits to it will get removed if the file is opened in a newer version of Excel. Learn more: https://go.microsoft.com/fwlink/?linkid=870924
Comment:
    Wage adjustment became effective Jan. 2024. needs questioning why wage bill jump extraordinarily in 2025 again.
</t>
      </text>
    </comment>
  </commentList>
</comments>
</file>

<file path=xl/sharedStrings.xml><?xml version="1.0" encoding="utf-8"?>
<sst xmlns="http://schemas.openxmlformats.org/spreadsheetml/2006/main" count="2748" uniqueCount="1257">
  <si>
    <t>YOUR MOST IMPORTANT REFORM QUESTIONS ANSWERED - SIMPLE &amp; STRAIGHTFORWARD</t>
  </si>
  <si>
    <t>Why was it necessary to remove fuel subsidy? Why was a gradual sequencing with stronger cushioning measures to protect citizens from the immediate impact not considered?</t>
  </si>
  <si>
    <t>What was the rationale for devaluing the Naira and allowing it to float freely given the predictable impact on the economy that is heavily import dependent?</t>
  </si>
  <si>
    <t>If revenue collection has surpassed target, why is government still borrowing and how is all the money being spent?</t>
  </si>
  <si>
    <t>With current borrowing levels, is Nigeria at risk of a debt trap, and mortgaging the future generations?</t>
  </si>
  <si>
    <t>With the increase in poverty levels while macroeconomic indicators are improving, how do these reforms translate into tangible benefits for ordinary citizens?</t>
  </si>
  <si>
    <t>Why does government prioritise building external reserves rather than deploying some of the resources toward economic relief or poverty alleviation?</t>
  </si>
  <si>
    <t>It is generally believed that the federal government retains the largest share of federation revenues, why isn't this reflected in more infrastructure and human development spending rather than overhead?</t>
  </si>
  <si>
    <t>If reforms are working, why does Nigeria continue to attract mostly short-term portfolio ("hot money") inflows rather than sustained foreign direct investment?</t>
  </si>
  <si>
    <t>How realistic is government's goal of achieving a USD 1 trillion economy by 2030, and what is the roadmap to get there?</t>
  </si>
  <si>
    <t>What concrete, measurable milestones can citizens hold government to, to track whether these reforms are delivering as promised?</t>
  </si>
  <si>
    <t>SUBSIDY SAVINGS, HIGHER REVENUE AND BORROWING - HOW THE MONEY IS SPENT</t>
  </si>
  <si>
    <t>Period Covered: June 2023 to December 2025 | Prepared by Federal Ministry of Finance - August 2026</t>
  </si>
  <si>
    <t>TABLE A - SUBSIDY SAVINGS</t>
  </si>
  <si>
    <t>APPENDINX 2</t>
  </si>
  <si>
    <t>Government</t>
  </si>
  <si>
    <t>Notes</t>
  </si>
  <si>
    <t>N'Billion</t>
  </si>
  <si>
    <t>How the Reform Benefits Ordinary Nigerians</t>
  </si>
  <si>
    <t>FG</t>
  </si>
  <si>
    <t>Wage increases and timely payment of salaries and pensions</t>
  </si>
  <si>
    <t>States</t>
  </si>
  <si>
    <t>Settlement of pension arrears and gratuities owed to retirees</t>
  </si>
  <si>
    <t>LGs</t>
  </si>
  <si>
    <t>Wealth creation for millions of Nigerians through capital market gains</t>
  </si>
  <si>
    <t>TOTAL</t>
  </si>
  <si>
    <t>Transformative infrastructure development nationwide</t>
  </si>
  <si>
    <t>Top globally friendly student loan scheme (NELFUND) and affordable consumer/SME credit</t>
  </si>
  <si>
    <t>TABLE B - INCREMENTAL BORROWING</t>
  </si>
  <si>
    <t>Subsidised mortgage and housing schemes, plus social transfers to most vulnerable</t>
  </si>
  <si>
    <t>Period</t>
  </si>
  <si>
    <t>Agricultural interventions strengthening food security</t>
  </si>
  <si>
    <t>2023 (Jun - Dec)</t>
  </si>
  <si>
    <t>Fuel availability and energy security despite global shocks</t>
  </si>
  <si>
    <t>2024 (Jan - Dec)</t>
  </si>
  <si>
    <t>Return of investor confidence, driving local and international investment</t>
  </si>
  <si>
    <t>2025 (Jan - Dec)</t>
  </si>
  <si>
    <t>Tax exemption for low-income earners and small businesses, and a friendlier tax environment for all</t>
  </si>
  <si>
    <t>Harm the Reforms Prevented</t>
  </si>
  <si>
    <t>TABLE C - OTHER INCREMENTAL REVENUES (FG ONLY)</t>
  </si>
  <si>
    <t>Hyperinflation from unchecked printing of the Naira</t>
  </si>
  <si>
    <t>Description</t>
  </si>
  <si>
    <t>Total collapse of the Naira's value</t>
  </si>
  <si>
    <t>Internally generated revenues</t>
  </si>
  <si>
    <t>Fuel scarcity and disruption of economic activities</t>
  </si>
  <si>
    <t>Government Owned Entities</t>
  </si>
  <si>
    <t>Greater poverty across the country</t>
  </si>
  <si>
    <t>Worsening insecurity fueled by economic crisis</t>
  </si>
  <si>
    <t>Mass business collapse and deeper job losses</t>
  </si>
  <si>
    <t>TABLE D - TOTAL INCREMENTAL RESOURCES (FG ONLY)</t>
  </si>
  <si>
    <t>Corruption in FX allocation and fuel subsidy scheme</t>
  </si>
  <si>
    <t>Bankruptcy of many states and local governments</t>
  </si>
  <si>
    <t>Subsidy savings (FG)</t>
  </si>
  <si>
    <t>Much higher interest rates</t>
  </si>
  <si>
    <t>Other incremental revenues</t>
  </si>
  <si>
    <t>Multiplicity of taxes deepening the taxation of poverty</t>
  </si>
  <si>
    <t>Incremental borrowing</t>
  </si>
  <si>
    <t>Call to Action</t>
  </si>
  <si>
    <t>Be a Citizen - Support positive government policies. We can not build our country by opposing every government action.</t>
  </si>
  <si>
    <t>TABLE E - HOW THE MONEY IS SPENT</t>
  </si>
  <si>
    <t>Criticise Constructively - Don’t run your country down. Whatever we amplify shapes perception and ultimately our economic reality.</t>
  </si>
  <si>
    <t>Descriptions</t>
  </si>
  <si>
    <t xml:space="preserve">Play Your Part - Seek facts and proper understanding - not populist views or sensational headlines. </t>
  </si>
  <si>
    <t>Ext. debt service – impact of exch rate depreciation</t>
  </si>
  <si>
    <t>Wage adjustments (min. wage increase, wage awards, allowances)</t>
  </si>
  <si>
    <t>For more information: Visit www.finance.gov.ng</t>
  </si>
  <si>
    <t>Strategic infrastructure development</t>
  </si>
  <si>
    <t>3E</t>
  </si>
  <si>
    <t>Electricity subsidy (incremental amount)</t>
  </si>
  <si>
    <t>Domestic debt service – Impact of MPC rate hike</t>
  </si>
  <si>
    <t>FCT Development, Ecological Fund, Natural Resource Inv etc</t>
  </si>
  <si>
    <t>Social welfare transfers</t>
  </si>
  <si>
    <t>Higher naira cost of foreign obligations</t>
  </si>
  <si>
    <t>Total incremental expenses</t>
  </si>
  <si>
    <t>Reform costs funded from existing revenue base</t>
  </si>
  <si>
    <t>APPENDIX 1</t>
  </si>
  <si>
    <t>Nigeria Economic Reform Scorecard</t>
  </si>
  <si>
    <t>Gains, Costs &amp; Harms Prevented</t>
  </si>
  <si>
    <r>
      <t>Fiscal sustainability:</t>
    </r>
    <r>
      <rPr>
        <i/>
        <sz val="6"/>
        <color rgb="FF404040"/>
        <rFont val="Times New Roman"/>
        <family val="1"/>
      </rPr>
      <t xml:space="preserve"> substantially improved  |  </t>
    </r>
    <r>
      <rPr>
        <b/>
        <i/>
        <sz val="6"/>
        <color rgb="FF404040"/>
        <rFont val="Times New Roman"/>
        <family val="1"/>
      </rPr>
      <t>External stability:</t>
    </r>
    <r>
      <rPr>
        <i/>
        <sz val="6"/>
        <color rgb="FF404040"/>
        <rFont val="Times New Roman"/>
        <family val="1"/>
      </rPr>
      <t xml:space="preserve"> substantially improved  | </t>
    </r>
    <r>
      <rPr>
        <b/>
        <i/>
        <sz val="6"/>
        <color rgb="FF404040"/>
        <rFont val="Times New Roman"/>
        <family val="1"/>
      </rPr>
      <t xml:space="preserve"> Investor confidence:</t>
    </r>
    <r>
      <rPr>
        <i/>
        <sz val="6"/>
        <color rgb="FF404040"/>
        <rFont val="Times New Roman"/>
        <family val="1"/>
      </rPr>
      <t xml:space="preserve"> significantly improved, FDI rising  |  </t>
    </r>
    <r>
      <rPr>
        <b/>
        <i/>
        <sz val="6"/>
        <color rgb="FF404040"/>
        <rFont val="Times New Roman"/>
        <family val="1"/>
      </rPr>
      <t>Growth:</t>
    </r>
    <r>
      <rPr>
        <i/>
        <sz val="6"/>
        <color rgb="FF404040"/>
        <rFont val="Times New Roman"/>
        <family val="1"/>
      </rPr>
      <t xml:space="preserve"> improving, needs to accelerate  | </t>
    </r>
    <r>
      <rPr>
        <b/>
        <i/>
        <sz val="6"/>
        <color rgb="FF404040"/>
        <rFont val="Times New Roman"/>
        <family val="1"/>
      </rPr>
      <t xml:space="preserve"> Household welfare:</t>
    </r>
    <r>
      <rPr>
        <i/>
        <sz val="6"/>
        <color rgb="FF404040"/>
        <rFont val="Times New Roman"/>
        <family val="1"/>
      </rPr>
      <t xml:space="preserve"> weak, beginning to improve</t>
    </r>
  </si>
  <si>
    <r>
      <t>1. Fiscal Sustainability</t>
    </r>
    <r>
      <rPr>
        <i/>
        <sz val="9"/>
        <color rgb="FF595959"/>
        <rFont val="Arial"/>
        <family val="2"/>
        <scheme val="minor"/>
      </rPr>
      <t xml:space="preserve">  —  fiscal capacity, debt burden, revenue mobilisation &amp; discipline</t>
    </r>
  </si>
  <si>
    <t>Indicator</t>
  </si>
  <si>
    <t>Baseline (May '23)</t>
  </si>
  <si>
    <t>Current Position</t>
  </si>
  <si>
    <t>No-Reform '26 Est.</t>
  </si>
  <si>
    <t>Reform Assessment</t>
  </si>
  <si>
    <t>Debt Service / Revenue</t>
  </si>
  <si>
    <t>~100% (2022)</t>
  </si>
  <si>
    <t>~50% (2026 proj.)</t>
  </si>
  <si>
    <t>100–200%</t>
  </si>
  <si>
    <t>🟢 Major improvement</t>
  </si>
  <si>
    <t>Tax-to-GDP Ratio</t>
  </si>
  <si>
    <t>&lt;10%</t>
  </si>
  <si>
    <t xml:space="preserve">~12.5% </t>
  </si>
  <si>
    <t>~6%</t>
  </si>
  <si>
    <t>🟢 Gains in growth phase</t>
  </si>
  <si>
    <t>States Unable to Pay Salaries</t>
  </si>
  <si>
    <t>27 States (2023)</t>
  </si>
  <si>
    <t>0 State (2026)</t>
  </si>
  <si>
    <t>At least 30 States</t>
  </si>
  <si>
    <t>🟢 Bankruptcy prevented</t>
  </si>
  <si>
    <t>Ways &amp; Means / Monetary Financing</t>
  </si>
  <si>
    <t>₦30tn legacy stock</t>
  </si>
  <si>
    <t>Curtailed</t>
  </si>
  <si>
    <t>At least ₦60tn and rising</t>
  </si>
  <si>
    <t>🟢 Structural improvement</t>
  </si>
  <si>
    <t>Sovereign Credit Rating (S&amp;P)</t>
  </si>
  <si>
    <t>B−</t>
  </si>
  <si>
    <t>B / Stable</t>
  </si>
  <si>
    <t>CCC risk</t>
  </si>
  <si>
    <t>🟢 Upgraded</t>
  </si>
  <si>
    <r>
      <t>2. External Stability</t>
    </r>
    <r>
      <rPr>
        <i/>
        <sz val="9"/>
        <color rgb="FF595959"/>
        <rFont val="Arial"/>
        <family val="2"/>
        <scheme val="minor"/>
      </rPr>
      <t xml:space="preserve">  —  external buffers, currency stability, external-sector credibility</t>
    </r>
  </si>
  <si>
    <t>Gross FX Reserves</t>
  </si>
  <si>
    <t>~$35bn</t>
  </si>
  <si>
    <t>$52.5bn (Jul 2026)</t>
  </si>
  <si>
    <t>$15–25bn</t>
  </si>
  <si>
    <t>Net FX Reserves</t>
  </si>
  <si>
    <t>~$3.0bn (2023)</t>
  </si>
  <si>
    <t>$34.8bn (end-2025)</t>
  </si>
  <si>
    <t>Near zero / negative</t>
  </si>
  <si>
    <t>Official Exchange Rate</t>
  </si>
  <si>
    <t>~₦460/$</t>
  </si>
  <si>
    <t>~₦1,358/$ (Aug 2026)</t>
  </si>
  <si>
    <t>₦550–800/$ but unavailable</t>
  </si>
  <si>
    <t>🟡 Structural improvement</t>
  </si>
  <si>
    <t>Official/Parallel FX Premium</t>
  </si>
  <si>
    <t>~60%+</t>
  </si>
  <si>
    <t>&lt;5%</t>
  </si>
  <si>
    <t>150–200%+</t>
  </si>
  <si>
    <t>🟢 Major normalisation</t>
  </si>
  <si>
    <t>Current Account Balance</t>
  </si>
  <si>
    <t>$1.21bn surplus (2023)</t>
  </si>
  <si>
    <t>$14.04bn surplus (2025)</t>
  </si>
  <si>
    <t>$2bn to $5bn deficit</t>
  </si>
  <si>
    <t>🟢 Much stronger balance</t>
  </si>
  <si>
    <r>
      <rPr>
        <b/>
        <sz val="9"/>
        <color rgb="FF1F3864"/>
        <rFont val="Arial"/>
        <scheme val="minor"/>
      </rPr>
      <t>3. Investment Climate</t>
    </r>
    <r>
      <rPr>
        <i/>
        <sz val="9"/>
        <color rgb="FF595959"/>
        <rFont val="Arial"/>
        <scheme val="minor"/>
      </rPr>
      <t xml:space="preserve">  —  financial conditions, investor confidence, capital markets</t>
    </r>
  </si>
  <si>
    <t>$1.13bn (Q1-2023)</t>
  </si>
  <si>
    <t>$10.37bn (Q1-2026)</t>
  </si>
  <si>
    <t>$1–3bn/quarter</t>
  </si>
  <si>
    <t>🟢 Very strong recovery</t>
  </si>
  <si>
    <t>FDI</t>
  </si>
  <si>
    <t>$895m (2022)</t>
  </si>
  <si>
    <t>$4.01bn (2025)</t>
  </si>
  <si>
    <t xml:space="preserve">&lt;$500m </t>
  </si>
  <si>
    <t>🟡 Better, growing stronger</t>
  </si>
  <si>
    <t>Stock Market Capitalisation</t>
  </si>
  <si>
    <t>~₦31tn (May-2023)</t>
  </si>
  <si>
    <t>~₦150tn (June-2026)</t>
  </si>
  <si>
    <t>&lt;₦30tn</t>
  </si>
  <si>
    <t>Monetary Policy Rate</t>
  </si>
  <si>
    <t>&gt;35%+ under crisis adj.</t>
  </si>
  <si>
    <t>🟡 Cost of stabilisation</t>
  </si>
  <si>
    <t>Sovereign Eurobond Yield</t>
  </si>
  <si>
    <t>~10 to 13%</t>
  </si>
  <si>
    <t>~7–8% (mid-2026)</t>
  </si>
  <si>
    <t>12–18% / impaired access</t>
  </si>
  <si>
    <t xml:space="preserve">🟢 Improved </t>
  </si>
  <si>
    <r>
      <t>4. Social Impact</t>
    </r>
    <r>
      <rPr>
        <i/>
        <sz val="9"/>
        <color rgb="FF595959"/>
        <rFont val="Arial"/>
        <family val="2"/>
        <scheme val="minor"/>
      </rPr>
      <t xml:space="preserve">  —  how macro conditions translate into household welfare</t>
    </r>
  </si>
  <si>
    <t>Headline Inflation</t>
  </si>
  <si>
    <t>15.91% (Jun 2026)</t>
  </si>
  <si>
    <t>30–50% after disorderly adj.</t>
  </si>
  <si>
    <t>🟢 Improving, after early pain</t>
  </si>
  <si>
    <t>Food Inflation</t>
  </si>
  <si>
    <t>35–60%</t>
  </si>
  <si>
    <t>🟡 Improving</t>
  </si>
  <si>
    <t>PMS Price / litre</t>
  </si>
  <si>
    <t>~₦185</t>
  </si>
  <si>
    <t>~₦1,100 to ₦1,400</t>
  </si>
  <si>
    <t>~₦185 unavailable, &gt;₦3,000 black market</t>
  </si>
  <si>
    <t>🟡 Major cost factor but the worse prevented</t>
  </si>
  <si>
    <t>Minimum Wage</t>
  </si>
  <si>
    <t>₦30,000–50,000 unpaid</t>
  </si>
  <si>
    <t>🟡 Nominal gain; real mixed</t>
  </si>
  <si>
    <t>Poverty / Household Welfare</t>
  </si>
  <si>
    <t>High</t>
  </si>
  <si>
    <t>High; recovery in progress</t>
  </si>
  <si>
    <t>Severe under crisis scenario</t>
  </si>
  <si>
    <t>🟡 WIP, unfinished business</t>
  </si>
  <si>
    <r>
      <t>5. Growth &amp; Productivity</t>
    </r>
    <r>
      <rPr>
        <i/>
        <sz val="9"/>
        <color rgb="FF595959"/>
        <rFont val="Arial"/>
        <family val="2"/>
        <scheme val="minor"/>
      </rPr>
      <t xml:space="preserve">  —  scale, pace, and breadth of economic expansion</t>
    </r>
  </si>
  <si>
    <t>Real GDP Growth</t>
  </si>
  <si>
    <t>2.31% (Q1-2023)</t>
  </si>
  <si>
    <t>3.89% (Q1-2026)</t>
  </si>
  <si>
    <t>Likely recession -1–2.5%</t>
  </si>
  <si>
    <t>🟢 Improved</t>
  </si>
  <si>
    <t>Real GDP Per Capita Growth</t>
  </si>
  <si>
    <t>Negative / contracting</t>
  </si>
  <si>
    <t>Positive / expanding</t>
  </si>
  <si>
    <t>−2% to 0%</t>
  </si>
  <si>
    <t>🟢 Wrong direction reversed</t>
  </si>
  <si>
    <t>Non-Oil GDP Growth</t>
  </si>
  <si>
    <t>&lt;2.0% Weak</t>
  </si>
  <si>
    <t>~4.0% (2026 proj.)</t>
  </si>
  <si>
    <t>1.0 to –2%</t>
  </si>
  <si>
    <t>🟢 Improving</t>
  </si>
  <si>
    <t>Manufacturing Growth</t>
  </si>
  <si>
    <t>&lt;1.0%, very weak</t>
  </si>
  <si>
    <t>3.29% (Q1-2026)</t>
  </si>
  <si>
    <t>0 to –2%</t>
  </si>
  <si>
    <t>Oil Production</t>
  </si>
  <si>
    <t>~1.2–1.4 mbpd</t>
  </si>
  <si>
    <t>~1.6–1.75 mbpd</t>
  </si>
  <si>
    <t>&lt;1.2 mbpd</t>
  </si>
  <si>
    <t>NOTE 1</t>
  </si>
  <si>
    <t>SUBSIDY SAVINGS - JUNE 2023 TO DECEMBER 2025</t>
  </si>
  <si>
    <t>2022 [Pre-subsidy removal]</t>
  </si>
  <si>
    <t>Total</t>
  </si>
  <si>
    <t>Period covered</t>
  </si>
  <si>
    <t>Jun 2022 - May 2023</t>
  </si>
  <si>
    <t>June-Dec</t>
  </si>
  <si>
    <t>Jan-Dec</t>
  </si>
  <si>
    <t>June 2023 - Dec 2025</t>
  </si>
  <si>
    <t>NGN'Billion</t>
  </si>
  <si>
    <t>Net FAAC revenue (actual)</t>
  </si>
  <si>
    <t>1A</t>
  </si>
  <si>
    <t xml:space="preserve">Net FAAC revenue (without subsidy removal) </t>
  </si>
  <si>
    <t>1B</t>
  </si>
  <si>
    <t>Subsidy Savings</t>
  </si>
  <si>
    <t>Distribution of savings:</t>
  </si>
  <si>
    <t>Allocated to:</t>
  </si>
  <si>
    <t>Federal Government</t>
  </si>
  <si>
    <t>Local governments</t>
  </si>
  <si>
    <t>Others - Ecological Fund, Stabilisation Fund, Dev of Nat. Resources, FCT</t>
  </si>
  <si>
    <t>Total net savings</t>
  </si>
  <si>
    <t>NOTE 2</t>
  </si>
  <si>
    <t>OTHER INCREMENTAL REVENUE - JUNE 2023 TO DECEMBER 2025</t>
  </si>
  <si>
    <t>Government Owned Entities - FG</t>
  </si>
  <si>
    <t>Other Independent Revenues - FG</t>
  </si>
  <si>
    <t>Total IGR - Actual</t>
  </si>
  <si>
    <t>Total IGR at normal growth rate</t>
  </si>
  <si>
    <t>Incremental IGR</t>
  </si>
  <si>
    <t>NOTE 3</t>
  </si>
  <si>
    <t>INCREMENTAL BORROWING - JUNE 2023 TO DECEMBER 2025</t>
  </si>
  <si>
    <t>Jun 2023 [pre-reform)</t>
  </si>
  <si>
    <t>Dec 2023</t>
  </si>
  <si>
    <t>Dec 2024</t>
  </si>
  <si>
    <t>Dec 2025</t>
  </si>
  <si>
    <t>Total public debt:</t>
  </si>
  <si>
    <t>Billion</t>
  </si>
  <si>
    <t>External (USD)</t>
  </si>
  <si>
    <t>Balances per DMO</t>
  </si>
  <si>
    <t>Exchange rate [USD to NGN]</t>
  </si>
  <si>
    <t>Applicable closing exch rates</t>
  </si>
  <si>
    <t>Naira value of external debt</t>
  </si>
  <si>
    <t>Domestic debt component (NGN)</t>
  </si>
  <si>
    <t>Total public debt (NGN)</t>
  </si>
  <si>
    <t>Adjustments:</t>
  </si>
  <si>
    <t>States debt portion</t>
  </si>
  <si>
    <t>Exch rate valuation of opening external debt</t>
  </si>
  <si>
    <t>Adjust for exch rate impact of debt stock</t>
  </si>
  <si>
    <t>Previously unreported Ways &amp; Means</t>
  </si>
  <si>
    <t>Cummulative Ways &amp; Means Securitised.</t>
  </si>
  <si>
    <t>Total adjustments</t>
  </si>
  <si>
    <t>Public debt stock (FGN)</t>
  </si>
  <si>
    <t>Net borrowing post reform (FGN)</t>
  </si>
  <si>
    <t>IMF debt repayment?</t>
  </si>
  <si>
    <t>Average annual borrowing pre reform</t>
  </si>
  <si>
    <t>3X</t>
  </si>
  <si>
    <t>NOTE 4</t>
  </si>
  <si>
    <t>UTILISATION OF INCREMENTAL REVENUE AND BORROWING</t>
  </si>
  <si>
    <t xml:space="preserve"> </t>
  </si>
  <si>
    <t>Receipts</t>
  </si>
  <si>
    <t>Jun 2023 - Dec 2023</t>
  </si>
  <si>
    <t>Subsidy savings (FG + Others)</t>
  </si>
  <si>
    <t>Other incremental revenue (FGN)</t>
  </si>
  <si>
    <t>Add FAAC transfers &amp; non-reform revenues</t>
  </si>
  <si>
    <t>Incremental net borrowing post subsidy removal (FGN)</t>
  </si>
  <si>
    <t>Total incremental receipts</t>
  </si>
  <si>
    <t>Incremental Expenditure</t>
  </si>
  <si>
    <t>Wage adjustments (min wage increase, wage awards, increased allowances)</t>
  </si>
  <si>
    <t>x</t>
  </si>
  <si>
    <t xml:space="preserve">Strategic infrastructure development </t>
  </si>
  <si>
    <t>External debt service (impact of exch rate depreciation)</t>
  </si>
  <si>
    <t>Domestic debt service (impact of rate hike by MPC to tackle inflation)</t>
  </si>
  <si>
    <t>Cash transfers, concesional loans for SMEs, NELFUND, MREIF, CreditCorp, Family Homes etc</t>
  </si>
  <si>
    <t>Higher naira cost of foreign obligations (foreign missions, international membership etc)</t>
  </si>
  <si>
    <t>Paid portion estimated, actual higher but not fully paid</t>
  </si>
  <si>
    <t>Ecological Fund, Stabilisation Fund, Dev of Nat. Resources, FCT</t>
  </si>
  <si>
    <t>Check FCT total releases (FCT+FG)</t>
  </si>
  <si>
    <t>Others - Balances, Savings &amp; NSIA investment etc</t>
  </si>
  <si>
    <t>Non-reform related revenue + FAAC transfers + Recoveries</t>
  </si>
  <si>
    <t>Notes:</t>
  </si>
  <si>
    <t>Subsidy removal resulted in less borrowing rather than huge savings. The real savings resulted from increases in fx taxes and NNPCL remittances</t>
  </si>
  <si>
    <t>FG made some payments, refunds and reimbusements to states</t>
  </si>
  <si>
    <t>Previous subsidy reduction savings were warehoused and managed only by FG</t>
  </si>
  <si>
    <t>Borrowing is within approvals by NASS and complies with the Fiscal Responsibility Act (HC and Capex)</t>
  </si>
  <si>
    <t>Increased spending on security</t>
  </si>
  <si>
    <t>How does the reform benefit the ordinary Nigerian?</t>
  </si>
  <si>
    <t>Wage increases, wage awards and timely payments of salaries</t>
  </si>
  <si>
    <t>Payment of pension arrears and gratuities</t>
  </si>
  <si>
    <t>Capital market wealth</t>
  </si>
  <si>
    <t>Inflation could have been worse</t>
  </si>
  <si>
    <t>Less unemployment as more businesses would have exited or ceased</t>
  </si>
  <si>
    <t>Availability of fx for subscription and debit cards usage</t>
  </si>
  <si>
    <t>Information Requests:</t>
  </si>
  <si>
    <t>Director Home Finance</t>
  </si>
  <si>
    <t>FAAC monthly gross (oil, non-oil, VAT), net and distributions to FG, States, LGs and others from Jan 2020 to Dec 2025; savings &amp; NSIA investments for 2022, 2023, 2024 &amp; 2025</t>
  </si>
  <si>
    <t>CBN</t>
  </si>
  <si>
    <t>Ways &amp; Means balances from 2020 to 2025 and movements with explanation</t>
  </si>
  <si>
    <t>DMO</t>
  </si>
  <si>
    <t>Debt stock and movements from 2022 to 2025 for FG &amp; subnational (external &amp; local) with respective exchange rates used for closing balance valuation</t>
  </si>
  <si>
    <t>AGF</t>
  </si>
  <si>
    <t xml:space="preserve">Information on the inremental expenses above including any major expense increases ommited </t>
  </si>
  <si>
    <t>FCT Minister</t>
  </si>
  <si>
    <t>Analysis of infrastructure expenditure from 2022 to 2025</t>
  </si>
  <si>
    <t>To Dos:</t>
  </si>
  <si>
    <t>Weighted FAAC shared ratios for FG, States &amp; LGs for 2022 to 2025</t>
  </si>
  <si>
    <t>Design infographics and press release / consider a press briefing</t>
  </si>
  <si>
    <t>NOTE 1A - FAAC ANALYSIS</t>
  </si>
  <si>
    <t>FAAC ANALYSIS</t>
  </si>
  <si>
    <t>Gross</t>
  </si>
  <si>
    <t>Deductions</t>
  </si>
  <si>
    <t>Net</t>
  </si>
  <si>
    <t>Others</t>
  </si>
  <si>
    <t>January</t>
  </si>
  <si>
    <t>February</t>
  </si>
  <si>
    <t>March</t>
  </si>
  <si>
    <t>April</t>
  </si>
  <si>
    <t>May</t>
  </si>
  <si>
    <t>June</t>
  </si>
  <si>
    <t>July</t>
  </si>
  <si>
    <t>August</t>
  </si>
  <si>
    <t>September</t>
  </si>
  <si>
    <t>October</t>
  </si>
  <si>
    <t>November</t>
  </si>
  <si>
    <t>December</t>
  </si>
  <si>
    <t>Share of net FAAC</t>
  </si>
  <si>
    <t xml:space="preserve">Note: </t>
  </si>
  <si>
    <t>Others is made up of Ecological Fund (1%), Stabilisation Fund (0.5%), Development of Natural Resources (1.68%), FCT 1%</t>
  </si>
  <si>
    <t>Deductions comprise Statutory Transfers, Cost of Collections, Intervention, Refunds, Savings &amp; Investments</t>
  </si>
  <si>
    <t>NOTE 1B - NET FAAC TREND</t>
  </si>
  <si>
    <t>Net FAAC Trend</t>
  </si>
  <si>
    <t>Gross FAAC</t>
  </si>
  <si>
    <t>Net FAAC</t>
  </si>
  <si>
    <t>Growth Rate</t>
  </si>
  <si>
    <t>Average</t>
  </si>
  <si>
    <t>Pre-reform</t>
  </si>
  <si>
    <t>Post-reform</t>
  </si>
  <si>
    <t>Update with actual gross and net figures from Home Finance</t>
  </si>
  <si>
    <t xml:space="preserve">PREVIOUS BREAKDOWN </t>
  </si>
  <si>
    <t>FAAC SUMMARY</t>
  </si>
  <si>
    <t>Net Distribution</t>
  </si>
  <si>
    <t xml:space="preserve">States </t>
  </si>
  <si>
    <t>LG</t>
  </si>
  <si>
    <t>Actual net distribution to be reconciled</t>
  </si>
  <si>
    <t>FAAC</t>
  </si>
  <si>
    <r>
      <t xml:space="preserve">Pre Subsidy Removal </t>
    </r>
    <r>
      <rPr>
        <b/>
        <i/>
        <strike/>
        <u val="doubleAccounting"/>
        <sz val="11"/>
        <color theme="0" tint="-0.249977111117893"/>
        <rFont val="Calibri"/>
        <family val="2"/>
      </rPr>
      <t>N</t>
    </r>
    <r>
      <rPr>
        <b/>
        <i/>
        <sz val="11"/>
        <color theme="0" tint="-0.249977111117893"/>
        <rFont val="Calibri"/>
        <family val="2"/>
      </rPr>
      <t xml:space="preserve"> 'Billion</t>
    </r>
  </si>
  <si>
    <r>
      <t xml:space="preserve">Post Subsidy Removal  </t>
    </r>
    <r>
      <rPr>
        <b/>
        <i/>
        <strike/>
        <sz val="11"/>
        <color theme="0" tint="-0.249977111117893"/>
        <rFont val="Calibri"/>
        <family val="2"/>
      </rPr>
      <t>N</t>
    </r>
    <r>
      <rPr>
        <b/>
        <i/>
        <sz val="11"/>
        <color theme="0" tint="-0.249977111117893"/>
        <rFont val="Calibri"/>
        <family val="2"/>
      </rPr>
      <t xml:space="preserve"> 'Billion</t>
    </r>
  </si>
  <si>
    <t>Jan -May 2023</t>
  </si>
  <si>
    <t>June to Dec. 2023</t>
  </si>
  <si>
    <t>Local</t>
  </si>
  <si>
    <t>13% Derivation Fund</t>
  </si>
  <si>
    <t xml:space="preserve">Ecology Fund </t>
  </si>
  <si>
    <t xml:space="preserve">Stabilization Fund </t>
  </si>
  <si>
    <t xml:space="preserve">Development of Natural Resources </t>
  </si>
  <si>
    <t>FCT</t>
  </si>
  <si>
    <t>NOTE 1C - OTHER INCREMENTAL REVENUES</t>
  </si>
  <si>
    <t>Jan-May 2023</t>
  </si>
  <si>
    <t>Jun-Dec 2023</t>
  </si>
  <si>
    <t>June 2023 to December 2025</t>
  </si>
  <si>
    <t>GOEs</t>
  </si>
  <si>
    <t>IGR</t>
  </si>
  <si>
    <t>Pre-reform IGR</t>
  </si>
  <si>
    <t>Pre reform revenue level used for post reform period due to irregular pre reform growth rate.</t>
  </si>
  <si>
    <t>Average growth rate</t>
  </si>
  <si>
    <t>Source: Min of Finance Analysis</t>
  </si>
  <si>
    <t>Update with actual figures</t>
  </si>
  <si>
    <t>SUMMARY OF IGR PERFOMANCE : JANUARY - DECEMBER,  2020</t>
  </si>
  <si>
    <t>S/n</t>
  </si>
  <si>
    <t>AGENCY</t>
  </si>
  <si>
    <t>Jan</t>
  </si>
  <si>
    <t>Feb</t>
  </si>
  <si>
    <t>Mar</t>
  </si>
  <si>
    <t>Apr</t>
  </si>
  <si>
    <t>Jun</t>
  </si>
  <si>
    <t>Jul</t>
  </si>
  <si>
    <t>Aug</t>
  </si>
  <si>
    <t>Sept</t>
  </si>
  <si>
    <t>Oct</t>
  </si>
  <si>
    <t>Nov</t>
  </si>
  <si>
    <t>Dec</t>
  </si>
  <si>
    <t>BUDGET PROJECTION</t>
  </si>
  <si>
    <t>GRAND TOTAL</t>
  </si>
  <si>
    <t>VARIANCE</t>
  </si>
  <si>
    <t>=N=</t>
  </si>
  <si>
    <t>i</t>
  </si>
  <si>
    <t>Ministries</t>
  </si>
  <si>
    <t xml:space="preserve">                                            -  </t>
  </si>
  <si>
    <t>ii</t>
  </si>
  <si>
    <t>Extra-Ministerial Department</t>
  </si>
  <si>
    <t>iii</t>
  </si>
  <si>
    <t>Parastatals</t>
  </si>
  <si>
    <t>iv</t>
  </si>
  <si>
    <t>Federal Pay Offices</t>
  </si>
  <si>
    <t>SUB-TOTAL MDAS IGR(A)</t>
  </si>
  <si>
    <t xml:space="preserve">                                               -  </t>
  </si>
  <si>
    <t xml:space="preserve">                                         -  </t>
  </si>
  <si>
    <t>v</t>
  </si>
  <si>
    <t>Operating Surplus</t>
  </si>
  <si>
    <t>vi</t>
  </si>
  <si>
    <t>Rent</t>
  </si>
  <si>
    <t>vii</t>
  </si>
  <si>
    <t>Monetisation (JP Morgan)</t>
  </si>
  <si>
    <t>Others (CRF)</t>
  </si>
  <si>
    <t>Others (SUB REC)</t>
  </si>
  <si>
    <t>Others (TSA/CDF)</t>
  </si>
  <si>
    <t>NON CLASSIFICATION</t>
  </si>
  <si>
    <t>Refund (NMRB)</t>
  </si>
  <si>
    <t>Spectrum Fees</t>
  </si>
  <si>
    <t>Dividened</t>
  </si>
  <si>
    <t>SUB TOTAL MOFI(B)</t>
  </si>
  <si>
    <t xml:space="preserve"> Sub-Total </t>
  </si>
  <si>
    <t>Net Consolidated Revenue (PIT, PAYE)</t>
  </si>
  <si>
    <t>xi</t>
  </si>
  <si>
    <t xml:space="preserve">                                        -  </t>
  </si>
  <si>
    <t xml:space="preserve">                                          -  </t>
  </si>
  <si>
    <t>xii</t>
  </si>
  <si>
    <t>FGN</t>
  </si>
  <si>
    <t xml:space="preserve">                                      -  </t>
  </si>
  <si>
    <t>SUB-TOTAL CONSOLIDATED (C)</t>
  </si>
  <si>
    <t>GRAND TOTAL(A+B)</t>
  </si>
  <si>
    <t>Dividend  (Dollars $)</t>
  </si>
  <si>
    <t>$</t>
  </si>
  <si>
    <t>African Re-Insurance Corp</t>
  </si>
  <si>
    <t>Royal Swaziland Sugar Corp, Swaziland</t>
  </si>
  <si>
    <t>SUMMARY OF IGR PERFOMANCE :   2021</t>
  </si>
  <si>
    <t>S/N</t>
  </si>
  <si>
    <t>viii</t>
  </si>
  <si>
    <t>ix</t>
  </si>
  <si>
    <t>OTHERS (SUB-REC)</t>
  </si>
  <si>
    <t>ROYALTY</t>
  </si>
  <si>
    <t>xiv</t>
  </si>
  <si>
    <t>Sub-Total</t>
  </si>
  <si>
    <t>xv</t>
  </si>
  <si>
    <t>xvi</t>
  </si>
  <si>
    <t>xvii</t>
  </si>
  <si>
    <t>xviii</t>
  </si>
  <si>
    <t>Consolidated Pool Account</t>
  </si>
  <si>
    <t>Consolidated Pool Account.</t>
  </si>
  <si>
    <t>G TOTAL + CONSOLIDATED POOL</t>
  </si>
  <si>
    <t>SUMMARY OF IGR PERFOMANCE :   2022</t>
  </si>
  <si>
    <t>Foregn Missiom</t>
  </si>
  <si>
    <t>SUB-TOTAL</t>
  </si>
  <si>
    <t>Monetisation            (JP Morgan)</t>
  </si>
  <si>
    <t>Foreign Missions</t>
  </si>
  <si>
    <t>Royalty</t>
  </si>
  <si>
    <t>SUB TOTAL</t>
  </si>
  <si>
    <t>TOTAL IGR</t>
  </si>
  <si>
    <t>JAN</t>
  </si>
  <si>
    <t>FEB</t>
  </si>
  <si>
    <t>MARCH</t>
  </si>
  <si>
    <t>APR</t>
  </si>
  <si>
    <t>MAY</t>
  </si>
  <si>
    <t>JUNE</t>
  </si>
  <si>
    <t>JULY</t>
  </si>
  <si>
    <t>AUG</t>
  </si>
  <si>
    <t>SEPT</t>
  </si>
  <si>
    <t>OCT</t>
  </si>
  <si>
    <t>NOV</t>
  </si>
  <si>
    <t>DEC</t>
  </si>
  <si>
    <t>BUDGETED</t>
  </si>
  <si>
    <t xml:space="preserve">                                       -  </t>
  </si>
  <si>
    <t xml:space="preserve">                                             -  </t>
  </si>
  <si>
    <t xml:space="preserve">                                     -  </t>
  </si>
  <si>
    <t>Operating Surplus 50% DEDUCTION</t>
  </si>
  <si>
    <t>Operating Surplus paid into consolidated pool acct 2</t>
  </si>
  <si>
    <t xml:space="preserve"> Direct remittance of operating surplus through REMITA</t>
  </si>
  <si>
    <t>Foreign Currency revenue USD 50% DEDUCTION</t>
  </si>
  <si>
    <t>Foreign Currency revenue USD Other Revenues</t>
  </si>
  <si>
    <t>Foreign Currency revenue GBP</t>
  </si>
  <si>
    <t>Foreign Currency revenue EUR</t>
  </si>
  <si>
    <t>xiii</t>
  </si>
  <si>
    <t>Monetisation                             (JP Morgan)</t>
  </si>
  <si>
    <t>IGR FROM OTHER MDAs (CRF)</t>
  </si>
  <si>
    <t>IGR FROM OTHER MDAs (SUB REC)</t>
  </si>
  <si>
    <t>Foreign Missions / (Asset Recovery)</t>
  </si>
  <si>
    <t xml:space="preserve">   </t>
  </si>
  <si>
    <t>xix</t>
  </si>
  <si>
    <t>xx</t>
  </si>
  <si>
    <t>FIRS PAYE TSA ACCOUNT</t>
  </si>
  <si>
    <t>xxi</t>
  </si>
  <si>
    <t>SPECIAL ACCTS (Consolidated Pool Account I)</t>
  </si>
  <si>
    <t>NOTE</t>
  </si>
  <si>
    <t>Dividend in Jan was from NIGER DELTA POWER DEVELOPMENT COMPANY LTD</t>
  </si>
  <si>
    <t xml:space="preserve">The sum of N88,656,142.66 from NUPRC and N121,249,646.73 from FRSC were not deducted in April into the consolidated pool acct </t>
  </si>
  <si>
    <t>The sum of $453,679,186.51 was the total collection in USD converted @ N1,329.2050,however the sum of $1037.5 from NCC was not inclusive due to inactive account ( April)</t>
  </si>
  <si>
    <t>The sum of $93,038,735.11 was the total collection in USD converted @ 1,482.4820,however the sum of $499,987.50 from NCDMB was not inclusive (may)</t>
  </si>
  <si>
    <t>The sum of 814,418.59 was the total collection in GBP converted @ 1,889.7198 (may)</t>
  </si>
  <si>
    <t>The sum of 3,005,466.88 was the total collection in Euro converted @ 1,612.3474(may)</t>
  </si>
  <si>
    <t>IN JUNE,the sum of 54,041.56 was the total collection in Euro converted @ 1,572.7163,GBP 154,122.53 @1,857.8364 and USD 195,381,003.35 @ 1,469.6910)</t>
  </si>
  <si>
    <t>In July,the sum of 4,416,029.57 USD was collected as 50% Dedution and 3,460,503.60 as Other Revenues and converted at 1,610.7100.</t>
  </si>
  <si>
    <t>Dividend in Aug was from NIGER DELTA POWER DEVELOPMENT COMPANY LTD</t>
  </si>
  <si>
    <t>In Aug,the sum of 254,674,699.39 USD was collected and converted at 1,595.6400</t>
  </si>
  <si>
    <t>In Sept, the sum of 145,809.44 USD was collected as 50% Deduction and 193,035,493.63 as other Revenues , and converted at 1,600.5280. Also budget augmentation added in July,August and September</t>
  </si>
  <si>
    <t>Revenue Arrears (Accrued Revenue) is being proccessed to the HMF&amp;CME for approval to be taken from FGOEs Accounts</t>
  </si>
  <si>
    <t>APRIL</t>
  </si>
  <si>
    <t>AUGUST</t>
  </si>
  <si>
    <t>SEPTEMBER</t>
  </si>
  <si>
    <t>OCTOBER</t>
  </si>
  <si>
    <t>NOVEMBER</t>
  </si>
  <si>
    <t>DECEMBER</t>
  </si>
  <si>
    <t xml:space="preserve">                                    -  </t>
  </si>
  <si>
    <t xml:space="preserve">                                   -  </t>
  </si>
  <si>
    <t>50% Un-Deducted Opert Surplus by Mandates (sub- rec)</t>
  </si>
  <si>
    <t>Monetisation  (JP Morgan)</t>
  </si>
  <si>
    <t>xxii</t>
  </si>
  <si>
    <t>SPECIAL ACCTS (Consolidated Pool I)</t>
  </si>
  <si>
    <t>In Jan,the sum of 15,456,082.94 USD was collected and converted at ₦ 1,477.22</t>
  </si>
  <si>
    <t>In July,the sum of 190,477,215.42 USD was collected and converted at ₦ 1,532.5540</t>
  </si>
  <si>
    <t>In addition,the sum of 8,296.48 GBP was collected and converted at ₦2,024.1973</t>
  </si>
  <si>
    <t>Monetisation in Aug was from NNPC</t>
  </si>
  <si>
    <t>In September the sum of $58,263,601.27 was collected and converted @ 1,532.5540</t>
  </si>
  <si>
    <t>Monetisation in Oct was from NIMASA N146b and foriegn proceeds from JP Morgan 3.3b</t>
  </si>
  <si>
    <t>Operating Surplus paid into consolidated pool acct II  (N55.9b )includes Remittance from NSDC N5.2b</t>
  </si>
  <si>
    <t>In October the sum of $116,585,626.53 was collected and converted @ 1,430.00</t>
  </si>
  <si>
    <t>In November the sum of $69,414,738.42 was collected and converted @ 1450.00</t>
  </si>
  <si>
    <t>In December the sum of $49,067,349.07 was collected and converted @ 1450.00</t>
  </si>
  <si>
    <t>Monetisation in Dec was from NNPC/ NLNG</t>
  </si>
  <si>
    <t>NOTE 2A - ANALYSIS OF PUBLIC DEBT STOCK</t>
  </si>
  <si>
    <t>Debt stock balances as at</t>
  </si>
  <si>
    <t>31 March 2023</t>
  </si>
  <si>
    <t>31 December 2023</t>
  </si>
  <si>
    <t>31 December 2024</t>
  </si>
  <si>
    <t>31 December 2025</t>
  </si>
  <si>
    <t>31 March 2026</t>
  </si>
  <si>
    <t>US$’M</t>
  </si>
  <si>
    <r>
      <rPr>
        <strike/>
        <sz val="11"/>
        <color rgb="FF000000"/>
        <rFont val="Arial"/>
        <family val="2"/>
        <scheme val="minor"/>
      </rPr>
      <t>N</t>
    </r>
    <r>
      <rPr>
        <b/>
        <sz val="11"/>
        <color rgb="FF000000"/>
        <rFont val="Arial"/>
        <family val="2"/>
        <scheme val="minor"/>
      </rPr>
      <t>'M</t>
    </r>
  </si>
  <si>
    <t>External Debt</t>
  </si>
  <si>
    <t>Domestic Debt</t>
  </si>
  <si>
    <t>FGN Only</t>
  </si>
  <si>
    <t>States &amp; FCT</t>
  </si>
  <si>
    <t>Total Public Debt</t>
  </si>
  <si>
    <t>Period end closing exchange rates</t>
  </si>
  <si>
    <t>Source: Debt Management Office</t>
  </si>
  <si>
    <t>NOTE 2B - EFFECT OF EXCHANGE RATE ON DEBT SERVICE</t>
  </si>
  <si>
    <t>Actual average exch rates</t>
  </si>
  <si>
    <t>Q1 2026</t>
  </si>
  <si>
    <t>Base Exchange Rate (US$/N) (Constant as at 01/01/2023)</t>
  </si>
  <si>
    <t>Use 31 May 2023 exch rate</t>
  </si>
  <si>
    <t>Average Actual Exchange Rate (US$/N)</t>
  </si>
  <si>
    <t>Derived actual average exch rates</t>
  </si>
  <si>
    <t>Actual External Debt Service (US$'M)</t>
  </si>
  <si>
    <t>External Debt Service at Base Exchange Rate (N'M) (A)</t>
  </si>
  <si>
    <t>Actual External Debt Service at Average Actual Exchange Rate (N'M) (B)</t>
  </si>
  <si>
    <t>Impact of Naira exchange rate depreciation</t>
  </si>
  <si>
    <t>Total Debt Service</t>
  </si>
  <si>
    <t xml:space="preserve">Actual Domestic Debt Service (N'M) </t>
  </si>
  <si>
    <t xml:space="preserve">Actual External Debt Service (N'M) </t>
  </si>
  <si>
    <t xml:space="preserve">Total Debt Service (N'M) </t>
  </si>
  <si>
    <t>NOTE 2C - IMPACT OF INTEREST RATE HIKE ON DOMESTIC BORROWING</t>
  </si>
  <si>
    <t>Incremental domestic borrowing</t>
  </si>
  <si>
    <t>Average Coupon:</t>
  </si>
  <si>
    <t xml:space="preserve">    - Short Term</t>
  </si>
  <si>
    <t xml:space="preserve">    - Long Term</t>
  </si>
  <si>
    <t>Incremental cost of interest rate hike</t>
  </si>
  <si>
    <t>NOTE 2D - WAYS &amp; MEANS</t>
  </si>
  <si>
    <t>Year</t>
  </si>
  <si>
    <t>Balance</t>
  </si>
  <si>
    <t>Movement</t>
  </si>
  <si>
    <t xml:space="preserve">Average </t>
  </si>
  <si>
    <t>Securitisation of circa N30T</t>
  </si>
  <si>
    <t>NOTE 2E - BORROWING PRE REFORM</t>
  </si>
  <si>
    <t>Public debt - FG</t>
  </si>
  <si>
    <t>Updated using debt stock movement</t>
  </si>
  <si>
    <t>Ways &amp; Means</t>
  </si>
  <si>
    <t>BUDGET DEFICIT AND NEW BORROWING (2015 - 2026)</t>
  </si>
  <si>
    <t>Budget Deficit (₦' Billion)</t>
  </si>
  <si>
    <t>Approved New Borrowing (foreign &amp; domestic) (₦' Billion)</t>
  </si>
  <si>
    <t>Approved Borrowing to Deficit Ratio</t>
  </si>
  <si>
    <t>2026 (Jan - Jun)</t>
  </si>
  <si>
    <t>Movements</t>
  </si>
  <si>
    <t>December 31, 2018</t>
  </si>
  <si>
    <t>December 31, 2019</t>
  </si>
  <si>
    <t>December 31, 2020</t>
  </si>
  <si>
    <t>December 31, 2021</t>
  </si>
  <si>
    <t>December 31, 2022</t>
  </si>
  <si>
    <t>December 31, 2023</t>
  </si>
  <si>
    <t>December 31, 2024</t>
  </si>
  <si>
    <t>December 31, 2025</t>
  </si>
  <si>
    <t>Amount Outstanding (US$’M)</t>
  </si>
  <si>
    <t>Amount Outstanding (N'M)</t>
  </si>
  <si>
    <t>Domestic  Debt</t>
  </si>
  <si>
    <t>Exchange Rate</t>
  </si>
  <si>
    <t>US$/N307.00</t>
  </si>
  <si>
    <t>US$/N326.00</t>
  </si>
  <si>
    <t>US$/N381.00</t>
  </si>
  <si>
    <t>US$/N412.99</t>
  </si>
  <si>
    <t>US$/N448.55</t>
  </si>
  <si>
    <t>US$/N899.393</t>
  </si>
  <si>
    <t>US$1/N1,535.3176</t>
  </si>
  <si>
    <t>US$1/N1,435.2571</t>
  </si>
  <si>
    <t>Total Public Debt moved from N24.39 trillion as at December 31, 2018 to N27.40 trillion as at December 31, 2019, representing an increase of 12.36 percent. The increase was mainly attributed to:ii.   New Borrowings of N7.48 trillion in the 2024 Appropriation Act:
i.     New Borrowing of N1.61 trillion in the 2019 Appropriation Act
ii.    Disbursements on existing loans from the Multilateral and Bilateral Creditors in the sum of US$2.49 billion.
iii.   Net Promissory Note Issuance of N397.21 billion
iv.   Depreciation of naira USD/N307.00 as at December 31, 2018 to USD/N326.00 as at December 31, 2019 which caused a valuation effect of about N0.48 trillion.</t>
  </si>
  <si>
    <t>Total Public Debt moved from N27.40 trillion as at December 31, 2019 to N32.92 trillion as at December 31, 2020, representing an increase of 20.12 percent. The increase was mainly attributed to:
i.  New Borrowing of N4.2 trillion in the 2020 Appropriation Act
ii.   The US$3.4 billion COVID support loan from IMF
iii.   Disbursements on existing loans from the Multilateral and Bilateral Creditors in the sum of US$2.09 billion. 
v. Net Promissory Note Issuance of N287.61 billion
iv.    Depreciation of naira USD/N326.00 as at December 31, 2019 to USD/N381.00 as at December 31, 2020 which caused a valuation effect of 
about N1.52 trillion</t>
  </si>
  <si>
    <t>Total Public Debt moved from N32.92 trillion as at December 31, 2020 to N39.56 trillion as at December 31, 2021, representing an increase of 20.17 percent. The increase was attributed to:
i.    New Borrowing of N5.49 trillion in the 2021 Appropriation Act:
a.   Domestic - N3.15 trillion.
b.   External – N2.34 trillion
ii.   Disbursements on existing loans from the Multilateral and Bilateral Creditors in the sum of US$1.77 billion.
iii.  Net Promissory Note Issuance of N39.52 billion
iv.   Depreciation of naira USD/N381.00 as at December 31, 2020 to USD/N412.00 as at December 31, 2021 which caused a valuation effect of 
about N1.07 trillion.</t>
  </si>
  <si>
    <t>Total Public Debt moved from N39.56 trillion as at December 31, 2020 to N46.25 trillion as at December 31, 2021, representing an increase of 16.92 percent. The increase was attributed to:
i.    New Borrowing of N6.1 trillion in the 2022 Appropriation Act:
a.   Domestic - N3.53 trillion.
b.   External – N2.57 trillion
ii.   Disbursements on existing loans from the Multilateral and Bilateral Creditors in the sum of US$3.76 billion.
iii.  Depreciation of naira USD/N412.99 as at December 31, 2020 to USD/N448.55 as at December 31, 2021 which caused a valuation effect of 
about N1.37 trillion.</t>
  </si>
  <si>
    <t>Total Public Debt moved from N46.25 trillion as at December 31, 2022 to N97.34 trillion as at December 31, 2023, representing an increase of 110.46 percent. The increase was attributed to:
i.    Inclusion of Ways and Means Advances at the CBN in the sum of N22.719 trillion in June 2023.
ii.   Devaluation of naira USD/N448.55 as at December 31, 2022 to USD/N899.393 as at December 31, 2023, which caused a valuation effect of about N18.80 trillion 
iii.  New Domestic Borrowing of N7.04 trillion to part finance 2023 Appropriation Act.
iv.  Disbursements on existing loans from the Multilateral and Bilateral Creditors in the sum of US$3.4 billion.
v.	Net Promissory Note Issuance of N647.83 billion</t>
  </si>
  <si>
    <t xml:space="preserve">The Total Public Debt Stock moved to N144.67 trillion (US$94.23 billion) as at December 31, 2024 from N97.34 trillion (US$108.23 billion) as at December 31, 2023, representing an increase of 48.62 percent or N47.32 billion in Naira Terms.  The increase was attributed to: 
i.    Naira depreciation from US$/N899.393 as at December 31, 2023 to US$/ N1,535.3176 as at December 31, 2024, which caused a valuation effect of N27.025 trillion	.
ii.   New Borrowings of N7.82 trillion in the 2024 Appropriation Act:
a.   Domestic - N6.06 trillion.
b.   External – N1.767 trillion
iii.  Issuance of Domestic FGN US Dollar Bond of US$917.41 million (or N1.41 trillion).
iv.  Inclusion of Ways and Means Advances of N7.3   trillion.
v.	Disbursements on existing loans from the Multilateral and Bilateral Creditors in the sum of US$4.1 billion to fund 2024 Appropriation Act.
vi.	Net Promissory Note Issuance of N425.65 billion </t>
  </si>
  <si>
    <t>Total Public Debt increased to N159.28 trillion in Q4 2025 from N144.67 trillion at Q4 2024, representing an increase of 10.1 percent. The increase was attributed to:
i.   New Borrowings of N10.423 trillion in the 2025 Appropriation Act:
a.  Domestic – N8.58 trillion to fund 2025 Appropriation Act.
b.  External – N1.85trillion
c.  New Borrowing of N347 billion through the Issuance of Green Bonds and Sukuk to complete 2024 New Domestic Borrowing.
ii.  Syndicated Loans of US$2.51 billion:
a.  Kano-Maradi Rail - US$0.64 billion
b.  Lagos Calabar Coastal Road – US$1.87 billion.
iii. Disbursements of US$1.5 billion from the World Bank for Reforms for Economic Stabilization to Enable Transformation Program.
iv.  Disbursements on existing loans from the Multilateral and Bilateral Creditors in the sum of US$1.62 billion.
In Naira terms the appreciation of the naira from N1,535.3176 to N1,435.2571 reduced the Naira value of External Debt by N4.581 trillion,
v.Net Promissory Note Issuance of N366.70 billion</t>
  </si>
  <si>
    <t>NOTE 3- INCREMENTAL EXPENSES</t>
  </si>
  <si>
    <t>A. WAGE ADJUSTMENTS</t>
  </si>
  <si>
    <t>Annual Wage Bill</t>
  </si>
  <si>
    <t>Increase</t>
  </si>
  <si>
    <t>Base Year</t>
  </si>
  <si>
    <t>B. SOCIAL WELFARE</t>
  </si>
  <si>
    <t xml:space="preserve">New Initiatives </t>
  </si>
  <si>
    <t>NELFUND</t>
  </si>
  <si>
    <t>Conditional Cash Transfers</t>
  </si>
  <si>
    <t>CREDICORP</t>
  </si>
  <si>
    <t>MREIF</t>
  </si>
  <si>
    <t>C. INTERNATIONAL MEMBERSHIP AND FOREIGN MISSIONS</t>
  </si>
  <si>
    <t>$million</t>
  </si>
  <si>
    <t xml:space="preserve">Subscriptions, Missions Funding and Assessed Contributions </t>
  </si>
  <si>
    <t>Estimated amount paid (actual due may be higher)</t>
  </si>
  <si>
    <t>Average exch rates</t>
  </si>
  <si>
    <t>Exchange rate impact</t>
  </si>
  <si>
    <t>NOTE 3D - ELECTRICITY SUBSIDY</t>
  </si>
  <si>
    <t>Jan - May 2023</t>
  </si>
  <si>
    <t>Jun - Dec 2023</t>
  </si>
  <si>
    <t>Total (Jun 2023 - Dec 2025)</t>
  </si>
  <si>
    <t>Total invoice values</t>
  </si>
  <si>
    <t>FG Invoices - Actual</t>
  </si>
  <si>
    <t>FG Invoices at pre-reform levels (est.)</t>
  </si>
  <si>
    <t>Incremental subsidy</t>
  </si>
  <si>
    <t>Electricity Subsidy Detailed Breakdown - NBET</t>
  </si>
  <si>
    <t>INVOICES (N)</t>
  </si>
  <si>
    <t>DISCO</t>
  </si>
  <si>
    <t>ABUJA</t>
  </si>
  <si>
    <t>BENIN</t>
  </si>
  <si>
    <t>EKO</t>
  </si>
  <si>
    <t>ENUGU</t>
  </si>
  <si>
    <t>IBADAN</t>
  </si>
  <si>
    <t>IKEJA</t>
  </si>
  <si>
    <t>JOS</t>
  </si>
  <si>
    <t>KADUNA</t>
  </si>
  <si>
    <t>KANO</t>
  </si>
  <si>
    <t>PH</t>
  </si>
  <si>
    <t>YOLA</t>
  </si>
  <si>
    <t>MRO/DRO</t>
  </si>
  <si>
    <t>FGN INVOICE</t>
  </si>
  <si>
    <t>GENCO INVOICES (N)</t>
  </si>
  <si>
    <t>GENCOS</t>
  </si>
  <si>
    <t>KAINJI (Mainstream)</t>
  </si>
  <si>
    <t>JEBBA (Mainstream)</t>
  </si>
  <si>
    <t>SHIRORO (North South Power)</t>
  </si>
  <si>
    <t>EGBIN</t>
  </si>
  <si>
    <t>UGHELLI TRANSCORP (DELTA)</t>
  </si>
  <si>
    <t>SAPELE (POWER) STEAM</t>
  </si>
  <si>
    <t xml:space="preserve">GEREGU </t>
  </si>
  <si>
    <t>AFAM IV-V</t>
  </si>
  <si>
    <t xml:space="preserve">OLORUNSOGO </t>
  </si>
  <si>
    <t>OMOTOSHO ELECTRIC</t>
  </si>
  <si>
    <t>ALAOJI NIPP</t>
  </si>
  <si>
    <t>GEREGU (POWER) NIPP</t>
  </si>
  <si>
    <t>ODUKPANI (CALABAR) NIPP</t>
  </si>
  <si>
    <t>OLORUNSOGO (POWER)  NIPP</t>
  </si>
  <si>
    <t>OMOTOSHO GEN CO. NIPP</t>
  </si>
  <si>
    <t>SAPELE (OGORODE) NIPP</t>
  </si>
  <si>
    <t>IHOVOR NIPP</t>
  </si>
  <si>
    <t>GBARAIN NIPP</t>
  </si>
  <si>
    <t>IBOM</t>
  </si>
  <si>
    <t>RIVERS IPP</t>
  </si>
  <si>
    <t>TRANS AMADI (FIPL)</t>
  </si>
  <si>
    <t>OMOKU (FIPL)</t>
  </si>
  <si>
    <t>MABON (DADIN KOWA HYDRO)</t>
  </si>
  <si>
    <t>AZURA POWER (NAIRA)</t>
  </si>
  <si>
    <t>NNPC (AFAM VI)</t>
  </si>
  <si>
    <t>AGIP (OKPAI)</t>
  </si>
  <si>
    <t>MEPP</t>
  </si>
  <si>
    <t xml:space="preserve">FX RATES </t>
  </si>
  <si>
    <t>AFAM VI FX (NAIRA/USD)</t>
  </si>
  <si>
    <t>OKPAI FX (NAIRA/USD)</t>
  </si>
  <si>
    <t>OTHER GENCOS' FX (NAIRA/USD)</t>
  </si>
  <si>
    <t>Pre FX Reforms Monthly Average Jan 2021 - April 2023</t>
  </si>
  <si>
    <t>Average April 2023 - Dec 2023</t>
  </si>
  <si>
    <t>Average Jan 24 - Dec 24</t>
  </si>
  <si>
    <t>Average Jan 25 - Dec 25</t>
  </si>
  <si>
    <t>2023 Differential</t>
  </si>
  <si>
    <t>2024 Differential</t>
  </si>
  <si>
    <t>2025 Differential</t>
  </si>
  <si>
    <t>NOTE 3E - STRATEGIC INFRASTRUCTURE</t>
  </si>
  <si>
    <t>Contractor</t>
  </si>
  <si>
    <t xml:space="preserve">Project </t>
  </si>
  <si>
    <t>Gross Amounts Paid</t>
  </si>
  <si>
    <t>N' Billion</t>
  </si>
  <si>
    <t>Bank of Agriculture</t>
  </si>
  <si>
    <t>Renewed Hope Smallholder Support &amp; Value-Chain</t>
  </si>
  <si>
    <t>BHL Bungalow City</t>
  </si>
  <si>
    <t>1,550 Housing Units for the Nigerian Army</t>
  </si>
  <si>
    <t>CBC Global Civil &amp; Building Construction</t>
  </si>
  <si>
    <t>Reconstruction of Shagamu-Ore-Benin Highway</t>
  </si>
  <si>
    <t>CBLT Multinational Joint Task Force USD</t>
  </si>
  <si>
    <t>Operation lake Sanity - HQ Multinational JTF</t>
  </si>
  <si>
    <t>Federal Ministry of Works</t>
  </si>
  <si>
    <t>Road emergency intervention projects</t>
  </si>
  <si>
    <t>Galaxy Backbone</t>
  </si>
  <si>
    <t>Acquisition of Tier 4 Data Centre</t>
  </si>
  <si>
    <t>Hitech Construction Company Limited</t>
  </si>
  <si>
    <t>Lagos - Calabar Coastal Highway Project</t>
  </si>
  <si>
    <t>Sokoto-Badagry Superhighway</t>
  </si>
  <si>
    <t>Ilesha-Akure-Benin Section (Phase I &amp; II)</t>
  </si>
  <si>
    <t>KOPEK Construction Limited</t>
  </si>
  <si>
    <t>Ibadan--Ife-Ilesha dual carriage</t>
  </si>
  <si>
    <t>MCZOLL Resources Ltd</t>
  </si>
  <si>
    <t>Rigid Pavement - Domestic Wing of MM Airport</t>
  </si>
  <si>
    <t>AIL Infrastructure Nigeria Limited</t>
  </si>
  <si>
    <t>Neenme-Brass Road  of Bayesa State</t>
  </si>
  <si>
    <t>Buildwell Plants and Equpment Industires ltd and 12 others</t>
  </si>
  <si>
    <t xml:space="preserve">Third mainland, Carter, Iddo, Jebba and seven (7) other Bridges </t>
  </si>
  <si>
    <t>CBC Global Civil Building Constr Nig Ltd</t>
  </si>
  <si>
    <t>Enugu Onitsha Dual carriageway</t>
  </si>
  <si>
    <t>China Habour Engineering Company Ltd</t>
  </si>
  <si>
    <t>Lekki Deep Sea Port Access Road</t>
  </si>
  <si>
    <t>Infiquest International Limited</t>
  </si>
  <si>
    <t>Trans-Sahara Superhighway</t>
  </si>
  <si>
    <t>Abuja - Kaduna - Kano Road (Section II)</t>
  </si>
  <si>
    <t>JRB Construction Company</t>
  </si>
  <si>
    <t>Reconstruction of Oyo-Ogbomosho Road</t>
  </si>
  <si>
    <t xml:space="preserve">Reconstruction of Abuja - Lokoja Road - Zuba - Abaji Road </t>
  </si>
  <si>
    <t xml:space="preserve">Skaldon International Limited </t>
  </si>
  <si>
    <t>Runway &amp; Taxiway upgrade of airfield ground lighting system to CAT</t>
  </si>
  <si>
    <t>SKECC Nig Limited</t>
  </si>
  <si>
    <t>Enugu-Onisha Road (72km) using reinforced concerete pavement</t>
  </si>
  <si>
    <t>Messrs UTM Offshore Limited</t>
  </si>
  <si>
    <t>ClearVu security fence, operational road, inst. of CCTV cameras, intruder detection systems, illumination with solar flood light at MMIA, Lagos.</t>
  </si>
  <si>
    <t>Nigeria-China Strategic Partnership</t>
  </si>
  <si>
    <t>Startup Cost &amp; Operational Budget</t>
  </si>
  <si>
    <t>National Agric. Seeks (NASC)</t>
  </si>
  <si>
    <t>Program Support</t>
  </si>
  <si>
    <t xml:space="preserve">Others -Capital Development Fund </t>
  </si>
  <si>
    <t xml:space="preserve">OFFICE OF THE ACCOUNTANT-GENERAL OF THE FEDERATION </t>
  </si>
  <si>
    <t>FEDERAL MINISTRY OF FINANCE</t>
  </si>
  <si>
    <t>FUNDS DEPARTMENT</t>
  </si>
  <si>
    <t>LEDGERL/ SCHEDULE OF STRATEGIC ROAD INFRASTRUCTURE PROJECTS FUNDED UNDER THE RENEWED HOPE INFRASTRUCTURE DEVELOPMENT FUND (RHIDF)</t>
  </si>
  <si>
    <t>S/NO</t>
  </si>
  <si>
    <t>CONTRACTOR</t>
  </si>
  <si>
    <t>PROJECT DETAILS</t>
  </si>
  <si>
    <t>CONTRACT COST</t>
  </si>
  <si>
    <t>GROSS AMOUNT PAID</t>
  </si>
  <si>
    <t>7.5% VAT</t>
  </si>
  <si>
    <t>TAXABLE INCOME</t>
  </si>
  <si>
    <t xml:space="preserve"> WHT</t>
  </si>
  <si>
    <t>1% STAMP DUTY</t>
  </si>
  <si>
    <t xml:space="preserve">NET PAYABLE </t>
  </si>
  <si>
    <t>Payment for the establishment of the Renewed Hope Smallholder Support and Value-Chain</t>
  </si>
  <si>
    <t>Procurement of 1,550 Housing Units at Brains and Hammers Estate and dualisation of 6.2km road for the Nigeria Army</t>
  </si>
  <si>
    <t>CBC Global Civil &amp; Building Construction Nig Ltd</t>
  </si>
  <si>
    <t>Reconstruction of 48X2 (96KM) of Shagamu-Ore-Benin Highway on rigid pavement</t>
  </si>
  <si>
    <t xml:space="preserve">Being release of fund for the Headquarters Multinational Joint Task Force in respect of Operation Lake Sanity 3 which remain critical to sustaining the gains recorded in the fight against insurgency and other security challenges within the Lake Chad Bain region  </t>
  </si>
  <si>
    <t xml:space="preserve">Lagos - Calabar Coastal Highway Project section  </t>
  </si>
  <si>
    <t>payment of 30% mobilisation for Renewed Hioope Infrastructure Development Projects</t>
  </si>
  <si>
    <t>Various Road emergency intervention Projects</t>
  </si>
  <si>
    <t>Being release of fund approved by Mr. President for the acquisition of a Tier 4 Data Centre in Lagos State, in furtherance of Nigeria’s digital economy strategy under Renewed Hope Infrastructure Fund</t>
  </si>
  <si>
    <t>50% advance for the construction of the Lagos - Calabar Road (Phase I)</t>
  </si>
  <si>
    <t>Construction of the 1000km Sokoto-Badagry Superhighway</t>
  </si>
  <si>
    <t>Construction of the 258km  - 3-Lane carriageway, a componet of the 1000km Sokoto-Badagry Superhighway (Section 2, Phase 2A)</t>
  </si>
  <si>
    <t>Construction of the 1000km Sokoto-Badagry Superhighway Certificate No. 2 (Contract 8649)</t>
  </si>
  <si>
    <t>Construction of the Lagos - Port Harcourt -Calabar Coastal Road Corridor (Certificate No. 2 Contract No. 8550)</t>
  </si>
  <si>
    <t>Construction of the 258km  - 3-Lane carriageway, a componet of the 1000km Sokoto-Badagry Superhighway (Certificate  No. 2 Contract No.8663)</t>
  </si>
  <si>
    <t>Construction of Lagos - Calabar Coast highway Project (Section 3A &amp; 3B)</t>
  </si>
  <si>
    <t>Dualisation of Ilesha-Akure-Benin Section (Phase I &amp; II)</t>
  </si>
  <si>
    <t>Construction of Ibadan--Ife-Ilesha dual carriage in Oyo/Osun State Contract No.6631</t>
  </si>
  <si>
    <t>to enable the company carry out reconstruction and conversion of phase 1, phase 2, and Phase 3 to Rigid Pavement at the Domestic Wing of Murtala Muhammed Airport, Ikeja, Lagos</t>
  </si>
  <si>
    <t>Mess AIL Infrastructure Nigeria Limited</t>
  </si>
  <si>
    <t>Construction of 21.46km of Neenme-Brass Road Section II using reinforced concrete pavement of Bayesa State</t>
  </si>
  <si>
    <t>Messrs Buildwell Plants and Equpment Industires ltd and 12 others</t>
  </si>
  <si>
    <t>Emergency work at the Third main and ridge, carer Brige, Iddo Bridge, Jebba Bridge and seevfn (7) other Bridges along Lagos - Ibadan</t>
  </si>
  <si>
    <t>Messrs CBC Global Civil Building Constr Nig Ltd</t>
  </si>
  <si>
    <t>Being payment of generated certificate on rescoped sections of completion of the construction of Enugu Onitsha Dual carriageway</t>
  </si>
  <si>
    <t>Messrs China Habour Engineering Company Ltd</t>
  </si>
  <si>
    <t>Construction of 7th Axial Road (Lekki Deep Sea Port Access Road LOT 1 Contract No. 8863.17458/I)</t>
  </si>
  <si>
    <t>Messrs Hitech Construction Company Limited</t>
  </si>
  <si>
    <t xml:space="preserve">Lagos - Calabar Coastal Highway project section 4A &amp; 4B  </t>
  </si>
  <si>
    <t>Sokoto Badagry Superhighway-Section2, Phase 2B Contract No. 8926 WR.17520/1</t>
  </si>
  <si>
    <t>Sokoto Badagry Superhighway-Section2, Phase 2B Contract No. 8926 WR.17519/1</t>
  </si>
  <si>
    <t>Messrs Infioquest Interanational Limited</t>
  </si>
  <si>
    <t>Construction of point on the Enugu/Abakaliki/Ogoja Highway (Africa Tran-sahara Route) to Benue-Kpogi-Nasarawa State-Apo in FCT with extension</t>
  </si>
  <si>
    <t>Messrs Infiquest International Limited</t>
  </si>
  <si>
    <t>Construction of Trans-Sahara  superhighway</t>
  </si>
  <si>
    <t>Messrs Infiquest International Nigeria Limited</t>
  </si>
  <si>
    <t>Mobilisation fee of the Reconstruction of Abuja-Kaduna -Zaria -Kano dualised carriageway section II</t>
  </si>
  <si>
    <t>Construction of Abuja - Kaduna - Kano Road (Section I &amp; III)</t>
  </si>
  <si>
    <t>Construction of Abuja - Kaduna - Kano Road (Section II)</t>
  </si>
  <si>
    <t>Messrs JRB Construction Company</t>
  </si>
  <si>
    <t>Reconstruction of Oyo-Ogbomosho Road using reinforced concrete pavement in Oyo State</t>
  </si>
  <si>
    <t xml:space="preserve">Reconstruction of Abuja - Lokoja Road (Section I &amp; II) Zuba - Abaji Road </t>
  </si>
  <si>
    <t xml:space="preserve">Messrs Skaldon International Limited </t>
  </si>
  <si>
    <t>Being 60% mobilization for the rehabilitation of runway 036/20 and taxiway with upgrde of the airfield ground lighting system to CAT</t>
  </si>
  <si>
    <t>Being 60% mobilization for the construction of a 14.6km ClearVu security fence, operational road, installation of CCTV cameras, intruder detection systems, illumination with solar flood light at MMIA, Lagos.</t>
  </si>
  <si>
    <t>National Agricultural Seeks (NASC)</t>
  </si>
  <si>
    <t>Being funds to support programme operational expenditure quality assurance</t>
  </si>
  <si>
    <t>Nigeria-China Strategic Partbership</t>
  </si>
  <si>
    <r>
      <t xml:space="preserve">Being third tranche of the </t>
    </r>
    <r>
      <rPr>
        <strike/>
        <sz val="11"/>
        <color theme="1"/>
        <rFont val="Arial"/>
        <family val="2"/>
        <scheme val="minor"/>
      </rPr>
      <t>N</t>
    </r>
    <r>
      <rPr>
        <sz val="11"/>
        <color theme="1"/>
        <rFont val="Arial"/>
        <family val="2"/>
        <scheme val="minor"/>
      </rPr>
      <t>37.6 Billion approved by Mr President as the Operational Budget released for Nigeria-China Strategic Partnership including startup cost</t>
    </r>
  </si>
  <si>
    <t>Construction of section of Enugu-Onisha Road (72km) using reinformced concerete pavement)</t>
  </si>
  <si>
    <t>Reversal of the fund transfer Capital Development Fund</t>
  </si>
  <si>
    <t xml:space="preserve">Total </t>
  </si>
  <si>
    <t>NOTE 4 - COUNTERFACTUAL (THE HARMS THE REFORM PREVENTED)</t>
  </si>
  <si>
    <t>Key Indicators: Pre-reform 29 May 2023 vs 30 June 2026</t>
  </si>
  <si>
    <t>Baseline (May 2023)</t>
  </si>
  <si>
    <t>Reform (June 2026)</t>
  </si>
  <si>
    <t>No Reform (June 2026)</t>
  </si>
  <si>
    <t>Theme 1: Fiscal Sustainability &amp; Sovereign Health (The State's Balance Sheet)</t>
  </si>
  <si>
    <t>Fiscal Sustainability</t>
  </si>
  <si>
    <t>Theme 2: Monetary Stability &amp; External Buffers (The Value of the Naira)</t>
  </si>
  <si>
    <t>External Position</t>
  </si>
  <si>
    <t>Theme 3: Investment Climate &amp; Market Dynamics (The Engine of Growth)</t>
  </si>
  <si>
    <t>Investment Climate</t>
  </si>
  <si>
    <t>Theme 4: Domestic Costs &amp; Citizen Welfare (The Social Baseline)</t>
  </si>
  <si>
    <t>Social Impact</t>
  </si>
  <si>
    <t>Growth</t>
  </si>
  <si>
    <t>Rating</t>
  </si>
  <si>
    <t>Junk</t>
  </si>
  <si>
    <t>FATF</t>
  </si>
  <si>
    <t>Black</t>
  </si>
  <si>
    <t>GDP growth rate</t>
  </si>
  <si>
    <t>Diaspora remittances</t>
  </si>
  <si>
    <t xml:space="preserve">Domestic refining </t>
  </si>
  <si>
    <t>Market feedback</t>
  </si>
  <si>
    <t>a coordinated intervention to prevent a total lock-up of our banking, trade, and national safety sectors—specifically averting a total fuel and currency crisis</t>
  </si>
  <si>
    <t>continuing the subsidies and FX peg would have dragged Nigeria's net liquidity into deep negative territory within months</t>
  </si>
  <si>
    <t>---------------</t>
  </si>
  <si>
    <t>This demonstrates how structural reforms saved the Federal Government from insolvency and institutional shutdown.</t>
  </si>
  <si>
    <t>Economic Indicator</t>
  </si>
  <si>
    <r>
      <t xml:space="preserve">May 2023 Baseline </t>
    </r>
    <r>
      <rPr>
        <b/>
        <i/>
        <sz val="11"/>
        <color rgb="FF000000"/>
        <rFont val="Arial"/>
        <family val="2"/>
        <scheme val="minor"/>
      </rPr>
      <t>(Inherited Data)</t>
    </r>
  </si>
  <si>
    <r>
      <t xml:space="preserve">Present Reality </t>
    </r>
    <r>
      <rPr>
        <b/>
        <i/>
        <sz val="11"/>
        <color rgb="FF000000"/>
        <rFont val="Arial"/>
        <family val="2"/>
        <scheme val="minor"/>
      </rPr>
      <t>(Mid-2026 Actual)</t>
    </r>
  </si>
  <si>
    <r>
      <t xml:space="preserve">The Counterfactual Trajectory </t>
    </r>
    <r>
      <rPr>
        <b/>
        <i/>
        <sz val="11"/>
        <color rgb="FF000000"/>
        <rFont val="Arial"/>
        <family val="2"/>
        <scheme val="minor"/>
      </rPr>
      <t>(The "No-Reform" Collapse)</t>
    </r>
  </si>
  <si>
    <t xml:space="preserve">Economic Rationale </t>
  </si>
  <si>
    <t>&amp; Human Implication</t>
  </si>
  <si>
    <t>Debt Service-to-Revenue</t>
  </si>
  <si>
    <t>Over 100% (Fiscal Insolvency)</t>
  </si>
  <si>
    <r>
      <t>Rationale:</t>
    </r>
    <r>
      <rPr>
        <sz val="11"/>
        <color rgb="FF000000"/>
        <rFont val="Arial"/>
        <family val="2"/>
        <scheme val="minor"/>
      </rPr>
      <t xml:space="preserve"> In May 2023, Nigeria spent 1.5x of its entire revenue purely on interest payments. Through aggressive fiscal reforms, we halved this crushing burden down to 77%, bringing the nation back from the brink. Without these interventions, compounding interest would have triggered an immediate sovereign debt default, cutting off all market access.</t>
    </r>
  </si>
  <si>
    <r>
      <t>Human Implication:</t>
    </r>
    <r>
      <rPr>
        <sz val="11"/>
        <color rgb="FF000000"/>
        <rFont val="Arial"/>
        <family val="2"/>
        <scheme val="minor"/>
      </rPr>
      <t xml:space="preserve"> Total inability to pay federal civil service salaries or maintain security operations, leading to widespread public sector strikes.</t>
    </r>
  </si>
  <si>
    <t>Ways &amp; Means Funding</t>
  </si>
  <si>
    <t>₦30 Trillion</t>
  </si>
  <si>
    <t>Strictly Capped / Eliminated</t>
  </si>
  <si>
    <t>Uncapped Exponential Expansion</t>
  </si>
  <si>
    <r>
      <t>Rationale:</t>
    </r>
    <r>
      <rPr>
        <sz val="11"/>
        <color rgb="FF000000"/>
        <rFont val="Arial"/>
        <family val="2"/>
        <scheme val="minor"/>
      </rPr>
      <t xml:space="preserve"> The unbacked printing of trillions to fund subsidies.</t>
    </r>
  </si>
  <si>
    <r>
      <t>Human Implication:</t>
    </r>
    <r>
      <rPr>
        <sz val="11"/>
        <color rgb="FF000000"/>
        <rFont val="Arial"/>
        <family val="2"/>
        <scheme val="minor"/>
      </rPr>
      <t xml:space="preserve"> This behaves like an invisible tax, aggressively wiping out the purchasing power of every naira held by ordinary citizens.</t>
    </r>
  </si>
  <si>
    <t>Stagnant / Shrinking Base</t>
  </si>
  <si>
    <r>
      <t>Rationale:</t>
    </r>
    <r>
      <rPr>
        <sz val="11"/>
        <color rgb="FF000000"/>
        <rFont val="Arial"/>
        <family val="2"/>
        <scheme val="minor"/>
      </rPr>
      <t xml:space="preserve"> Contraction of the formal economy without tax reforms.</t>
    </r>
  </si>
  <si>
    <r>
      <t>Human Implication:</t>
    </r>
    <r>
      <rPr>
        <sz val="11"/>
        <color rgb="FF000000"/>
        <rFont val="Arial"/>
        <family val="2"/>
        <scheme val="minor"/>
      </rPr>
      <t xml:space="preserve"> A shrinking tax base starves states and local governments of the revenue needed for basic community healthcare.</t>
    </r>
  </si>
  <si>
    <t>Sovereign Credit Rating</t>
  </si>
  <si>
    <t>B- (Negative)</t>
  </si>
  <si>
    <t>Fitch upgraded to ‘B’ (stable outlook).</t>
  </si>
  <si>
    <t>Default / 'Junk' Status</t>
  </si>
  <si>
    <r>
      <t>Rationale:</t>
    </r>
    <r>
      <rPr>
        <sz val="11"/>
        <color rgb="FF000000"/>
        <rFont val="Arial"/>
        <family val="2"/>
        <scheme val="minor"/>
      </rPr>
      <t xml:space="preserve"> Institutional insolvency leading to an automatic rating downgrade.</t>
    </r>
  </si>
  <si>
    <t>Moody’s raised our rating to B3 (stable outlook).</t>
  </si>
  <si>
    <r>
      <t>Human Implication:</t>
    </r>
    <r>
      <rPr>
        <sz val="11"/>
        <color rgb="FF000000"/>
        <rFont val="Arial"/>
        <family val="2"/>
        <scheme val="minor"/>
      </rPr>
      <t xml:space="preserve"> Total isolation from global financial markets, completely halting national infrastructure development.</t>
    </r>
  </si>
  <si>
    <t>S &amp; P upgrade: from stable to positive</t>
  </si>
  <si>
    <t>This explains how clearing central bank hidden liabilities, FX unification, and active inflation targeting protected the currency.</t>
  </si>
  <si>
    <r>
      <t xml:space="preserve">May 2023 Baseline </t>
    </r>
    <r>
      <rPr>
        <b/>
        <i/>
        <sz val="10.5"/>
        <color rgb="FF000000"/>
        <rFont val="Times New Roman"/>
        <family val="1"/>
      </rPr>
      <t>(Inherited Data)</t>
    </r>
  </si>
  <si>
    <r>
      <t xml:space="preserve">Present Reality </t>
    </r>
    <r>
      <rPr>
        <b/>
        <i/>
        <sz val="10.5"/>
        <color rgb="FF000000"/>
        <rFont val="Times New Roman"/>
        <family val="1"/>
      </rPr>
      <t>(Mid-2026 Actual)</t>
    </r>
  </si>
  <si>
    <r>
      <t xml:space="preserve">The Counterfactual Trajectory </t>
    </r>
    <r>
      <rPr>
        <b/>
        <i/>
        <sz val="10.5"/>
        <color rgb="FF000000"/>
        <rFont val="Times New Roman"/>
        <family val="1"/>
      </rPr>
      <t>(The "No-Reform" Collapse)</t>
    </r>
  </si>
  <si>
    <t>Foreign Reserves</t>
  </si>
  <si>
    <r>
      <t>Gross</t>
    </r>
    <r>
      <rPr>
        <sz val="10.5"/>
        <color rgb="FF000000"/>
        <rFont val="Times New Roman"/>
        <family val="1"/>
      </rPr>
      <t>: $35.1 Billion</t>
    </r>
  </si>
  <si>
    <r>
      <t>Gross</t>
    </r>
    <r>
      <rPr>
        <sz val="10.5"/>
        <color rgb="FF000000"/>
        <rFont val="Times New Roman"/>
        <family val="1"/>
      </rPr>
      <t>: ~$52.0 Billion</t>
    </r>
  </si>
  <si>
    <r>
      <t>Gross</t>
    </r>
    <r>
      <rPr>
        <sz val="10.5"/>
        <color rgb="FF000000"/>
        <rFont val="Times New Roman"/>
        <family val="1"/>
      </rPr>
      <t>: Below $15B</t>
    </r>
  </si>
  <si>
    <r>
      <t>Rationale:</t>
    </r>
    <r>
      <rPr>
        <sz val="10.5"/>
        <color rgb="FF000000"/>
        <rFont val="Times New Roman"/>
        <family val="1"/>
      </rPr>
      <t xml:space="preserve"> Paying multi-billion dollar monthly fuel subsidies would have entirely hollowed out the remaining $3B net buffer.</t>
    </r>
  </si>
  <si>
    <t>(Gross vs Net)</t>
  </si>
  <si>
    <r>
      <t>Net:</t>
    </r>
    <r>
      <rPr>
        <sz val="10.5"/>
        <color rgb="FF000000"/>
        <rFont val="Times New Roman"/>
        <family val="1"/>
      </rPr>
      <t xml:space="preserve"> $3.0B - $3.99B </t>
    </r>
    <r>
      <rPr>
        <i/>
        <sz val="10.5"/>
        <color rgb="FF000000"/>
        <rFont val="Times New Roman"/>
        <family val="1"/>
      </rPr>
      <t>(Encumbered by hidden liabilities)</t>
    </r>
  </si>
  <si>
    <r>
      <t>Net</t>
    </r>
    <r>
      <rPr>
        <sz val="10.5"/>
        <color rgb="FF000000"/>
        <rFont val="Times New Roman"/>
        <family val="1"/>
      </rPr>
      <t xml:space="preserve">: ~$40.0 Billion </t>
    </r>
    <r>
      <rPr>
        <i/>
        <sz val="10.5"/>
        <color rgb="FF000000"/>
        <rFont val="Times New Roman"/>
        <family val="1"/>
      </rPr>
      <t>(Regaining healthy liquidity)</t>
    </r>
  </si>
  <si>
    <r>
      <t>Net</t>
    </r>
    <r>
      <rPr>
        <sz val="10.5"/>
        <color rgb="FF000000"/>
        <rFont val="Times New Roman"/>
        <family val="1"/>
      </rPr>
      <t>: Complete Depletion (Negative Net)</t>
    </r>
  </si>
  <si>
    <r>
      <t>Human Implication:</t>
    </r>
    <r>
      <rPr>
        <sz val="10.5"/>
        <color rgb="FF000000"/>
        <rFont val="Times New Roman"/>
        <family val="1"/>
      </rPr>
      <t xml:space="preserve"> Complete structural inability to import essential, life-saving medicines or food items.</t>
    </r>
  </si>
  <si>
    <t>Currency Crisis</t>
  </si>
  <si>
    <t>Severe Parallel Market Premium</t>
  </si>
  <si>
    <t>Unified / Stabilizing Market</t>
  </si>
  <si>
    <t>Unmanaged Freefall Collapse</t>
  </si>
  <si>
    <r>
      <t>Rationale:</t>
    </r>
    <r>
      <rPr>
        <sz val="10.5"/>
        <color rgb="FF000000"/>
        <rFont val="Times New Roman"/>
        <family val="1"/>
      </rPr>
      <t xml:space="preserve"> An artificial peg without real dollars to back it creates a thriving black market.</t>
    </r>
  </si>
  <si>
    <r>
      <t>Human Implication:</t>
    </r>
    <r>
      <rPr>
        <sz val="10.5"/>
        <color rgb="FF000000"/>
        <rFont val="Times New Roman"/>
        <family val="1"/>
      </rPr>
      <t xml:space="preserve"> An unmanaged currency crash would mean that local businesses could not plan or survive, leading to immediate job losses.</t>
    </r>
  </si>
  <si>
    <t>Exchange Rate (Official)</t>
  </si>
  <si>
    <t>₦465 / $1</t>
  </si>
  <si>
    <t>Market-Reflective (~₦1,500)</t>
  </si>
  <si>
    <t>Complete Disinvestment Freefall</t>
  </si>
  <si>
    <r>
      <t>Rationale:</t>
    </r>
    <r>
      <rPr>
        <sz val="10.5"/>
        <color rgb="FF000000"/>
        <rFont val="Times New Roman"/>
        <family val="1"/>
      </rPr>
      <t xml:space="preserve"> Extreme dollar scarcity drives the currency exchange to wide premium of above 60%.</t>
    </r>
  </si>
  <si>
    <r>
      <t>Human Implication:</t>
    </r>
    <r>
      <rPr>
        <sz val="10.5"/>
        <color rgb="FF000000"/>
        <rFont val="Times New Roman"/>
        <family val="1"/>
      </rPr>
      <t xml:space="preserve"> The cost of importing basic everyday essentials would scale to impossible heights, making simple tools unaffordable.</t>
    </r>
  </si>
  <si>
    <t>Emergency Liquidity Shutdown</t>
  </si>
  <si>
    <r>
      <t>Rationale:</t>
    </r>
    <r>
      <rPr>
        <sz val="10.5"/>
        <color rgb="FF000000"/>
        <rFont val="Times New Roman"/>
        <family val="1"/>
      </rPr>
      <t xml:space="preserve"> Unchecked liquidity growth forces interest rates to emergency highs.</t>
    </r>
  </si>
  <si>
    <t>Active Inflation Targeting</t>
  </si>
  <si>
    <r>
      <t>Human Implication:</t>
    </r>
    <r>
      <rPr>
        <sz val="10.5"/>
        <color rgb="FF000000"/>
        <rFont val="Times New Roman"/>
        <family val="1"/>
      </rPr>
      <t xml:space="preserve"> Bank loan interest rates for SMEs would soar past affordable limits, entirely freezing local business expansion.</t>
    </r>
  </si>
  <si>
    <t>Inflation Rate</t>
  </si>
  <si>
    <t>Disinflationary Trend (~16%)</t>
  </si>
  <si>
    <t>Hyperinflationary Spiral (40%+)</t>
  </si>
  <si>
    <r>
      <t>Rationale:</t>
    </r>
    <r>
      <rPr>
        <sz val="10.5"/>
        <color rgb="FF000000"/>
        <rFont val="Times New Roman"/>
        <family val="1"/>
      </rPr>
      <t xml:space="preserve"> Driven by massive unbacked money printing and import scarcity.</t>
    </r>
  </si>
  <si>
    <r>
      <t>Human Implication:</t>
    </r>
    <r>
      <rPr>
        <sz val="10.5"/>
        <color rgb="FF000000"/>
        <rFont val="Times New Roman"/>
        <family val="1"/>
      </rPr>
      <t xml:space="preserve"> Families would face hyperinflation on everyday basic goods, meaning money loses its value day by day.</t>
    </r>
  </si>
  <si>
    <t>Diaspora Remittances</t>
  </si>
  <si>
    <t>$19billion (2023)</t>
  </si>
  <si>
    <t>$22billion (2025)</t>
  </si>
  <si>
    <t>Complete Parallel Diversion</t>
  </si>
  <si>
    <r>
      <t>Rationale:</t>
    </r>
    <r>
      <rPr>
        <sz val="10.5"/>
        <color rgb="FF000000"/>
        <rFont val="Times New Roman"/>
        <family val="1"/>
      </rPr>
      <t xml:space="preserve"> Capital permanently avoids a rigged exchange rate ecosystem.</t>
    </r>
  </si>
  <si>
    <t>Highly Diverted</t>
  </si>
  <si>
    <t>Surging via Official Channels</t>
  </si>
  <si>
    <r>
      <t>Human Implication:</t>
    </r>
    <r>
      <rPr>
        <sz val="10.5"/>
        <color rgb="FF000000"/>
        <rFont val="Times New Roman"/>
        <family val="1"/>
      </rPr>
      <t xml:space="preserve"> Hard currency sent home by Nigerians abroad would remain entirely in the informal black market.</t>
    </r>
  </si>
  <si>
    <t>This proves that the structural reforms protected domestic markets and restored international investor sanity.</t>
  </si>
  <si>
    <t>Economic Rationale &amp; Human Implication</t>
  </si>
  <si>
    <t>GDP Growth Rate</t>
  </si>
  <si>
    <t>Averages 2.0% prior to this administration</t>
  </si>
  <si>
    <t>3.5% - 4.2% (Real Growth)</t>
  </si>
  <si>
    <t>Negative Growth (Stagflation)</t>
  </si>
  <si>
    <r>
      <t>Rationale:</t>
    </r>
    <r>
      <rPr>
        <sz val="10.5"/>
        <color rgb="FF000000"/>
        <rFont val="Times New Roman"/>
        <family val="1"/>
      </rPr>
      <t xml:space="preserve"> A nation unable to fund imports or pay structural debt enters recession.</t>
    </r>
  </si>
  <si>
    <r>
      <t>Human Implication:</t>
    </r>
    <r>
      <rPr>
        <sz val="10.5"/>
        <color rgb="FF000000"/>
        <rFont val="Times New Roman"/>
        <family val="1"/>
      </rPr>
      <t xml:space="preserve"> A shrinking economy means fewer opportunities, leaving millions of university graduates with zero formal employment options.</t>
    </r>
  </si>
  <si>
    <t>Foreign Investment (FDI/FPI)</t>
  </si>
  <si>
    <t>Stagnant</t>
  </si>
  <si>
    <t>Gradual Structural Return</t>
  </si>
  <si>
    <t>Total Institutional Flight</t>
  </si>
  <si>
    <r>
      <t>Rationale:</t>
    </r>
    <r>
      <rPr>
        <sz val="10.5"/>
        <color rgb="FF000000"/>
        <rFont val="Times New Roman"/>
        <family val="1"/>
      </rPr>
      <t xml:space="preserve"> Capital avoids jurisdictions where profits cannot be legally repatriated.</t>
    </r>
  </si>
  <si>
    <t>FDI: $4.01billion (2025)</t>
  </si>
  <si>
    <r>
      <t>Human Implication:</t>
    </r>
    <r>
      <rPr>
        <sz val="10.5"/>
        <color rgb="FF000000"/>
        <rFont val="Times New Roman"/>
        <family val="1"/>
      </rPr>
      <t xml:space="preserve"> Global brands and factories would pack up and leave Nigeria completely, destroying skilled local employment.</t>
    </r>
  </si>
  <si>
    <t>FDI: $1.87billion (2023)</t>
  </si>
  <si>
    <t>FPI $15billion (2024) &amp; $8.04billion (2025)</t>
  </si>
  <si>
    <t>FPI:$6.47billion (2023)</t>
  </si>
  <si>
    <t>Stock Market (market cap)</t>
  </si>
  <si>
    <r>
      <t>N</t>
    </r>
    <r>
      <rPr>
        <sz val="10.5"/>
        <color rgb="FF000000"/>
        <rFont val="Times New Roman"/>
        <family val="1"/>
      </rPr>
      <t>30 trillion</t>
    </r>
  </si>
  <si>
    <r>
      <t xml:space="preserve">All-Time Highs of </t>
    </r>
    <r>
      <rPr>
        <strike/>
        <sz val="10.5"/>
        <color rgb="FF000000"/>
        <rFont val="Times New Roman"/>
        <family val="1"/>
      </rPr>
      <t>N</t>
    </r>
    <r>
      <rPr>
        <sz val="10.5"/>
        <color rgb="FF000000"/>
        <rFont val="Times New Roman"/>
        <family val="1"/>
      </rPr>
      <t>150 trillion</t>
    </r>
  </si>
  <si>
    <t>Market Crash &amp; Wealth Erasure</t>
  </si>
  <si>
    <r>
      <t>Rationale:</t>
    </r>
    <r>
      <rPr>
        <sz val="10.5"/>
        <color rgb="FF000000"/>
        <rFont val="Times New Roman"/>
        <family val="1"/>
      </rPr>
      <t xml:space="preserve"> A sovereign default triggers an immediate, panicky sell-off of domestic equities.</t>
    </r>
  </si>
  <si>
    <r>
      <t xml:space="preserve">Human Implication: </t>
    </r>
    <r>
      <rPr>
        <sz val="10.5"/>
        <color rgb="FF000000"/>
        <rFont val="Times New Roman"/>
        <family val="1"/>
      </rPr>
      <t>Increased Wealth Creation, Easier Access to Capital for Businesses, Improved Investor Confidence &amp; Support for Economic Growth</t>
    </r>
  </si>
  <si>
    <t>This directly maps out the human survival cost, contrasting transitional pain against absolute societal paralysis.</t>
  </si>
  <si>
    <t>Fuel Crisis</t>
  </si>
  <si>
    <t>Systemic Subsidy Deficits</t>
  </si>
  <si>
    <t>Market-Driven Product Flow</t>
  </si>
  <si>
    <t>Total Structural Depletion</t>
  </si>
  <si>
    <r>
      <t>Rationale:</t>
    </r>
    <r>
      <rPr>
        <sz val="10.5"/>
        <color rgb="FF000000"/>
        <rFont val="Times New Roman"/>
        <family val="1"/>
      </rPr>
      <t xml:space="preserve"> The state's letters of credit for petrol imports would no longer be honored due to a lack of net dollars.</t>
    </r>
  </si>
  <si>
    <r>
      <t>Human Implication:</t>
    </r>
    <r>
      <rPr>
        <sz val="10.5"/>
        <color rgb="FF000000"/>
        <rFont val="Times New Roman"/>
        <family val="1"/>
      </rPr>
      <t xml:space="preserve"> The counterfactual was </t>
    </r>
    <r>
      <rPr>
        <b/>
        <sz val="10.5"/>
        <color rgb="FF000000"/>
        <rFont val="Times New Roman"/>
        <family val="1"/>
      </rPr>
      <t>zero fuel</t>
    </r>
    <r>
      <rPr>
        <sz val="10.5"/>
        <color rgb="FF000000"/>
        <rFont val="Times New Roman"/>
        <family val="1"/>
      </rPr>
      <t>. Filling stations nationwide would be dry for months at a time, completely paralyzing logistics.</t>
    </r>
  </si>
  <si>
    <t>PMS Price per Litre</t>
  </si>
  <si>
    <t>₦185 - ₦195</t>
  </si>
  <si>
    <t>Market-Reflective Pricing</t>
  </si>
  <si>
    <t>Extreme Black Market Rates Only</t>
  </si>
  <si>
    <r>
      <t>Rationale:</t>
    </r>
    <r>
      <rPr>
        <sz val="10.5"/>
        <color rgb="FF000000"/>
        <rFont val="Times New Roman"/>
        <family val="1"/>
      </rPr>
      <t xml:space="preserve"> Scarcity completely replaces official retail distribution systems.</t>
    </r>
  </si>
  <si>
    <r>
      <t>Human Implication:</t>
    </r>
    <r>
      <rPr>
        <sz val="10.5"/>
        <color rgb="FF000000"/>
        <rFont val="Times New Roman"/>
        <family val="1"/>
      </rPr>
      <t xml:space="preserve"> Citizens would have been forced to buy fuel exclusively from black-market vendors at unregulated prices.</t>
    </r>
  </si>
  <si>
    <t>₦70,000 (Implemented)</t>
  </si>
  <si>
    <t>Frozen Value / Non-Payment</t>
  </si>
  <si>
    <r>
      <t>Rationale:</t>
    </r>
    <r>
      <rPr>
        <sz val="10.5"/>
        <color rgb="FF000000"/>
        <rFont val="Times New Roman"/>
        <family val="1"/>
      </rPr>
      <t xml:space="preserve"> An insolvent state lacks the basic revenue capacity to raise wages.</t>
    </r>
  </si>
  <si>
    <r>
      <t>Human Implication:</t>
    </r>
    <r>
      <rPr>
        <sz val="10.5"/>
        <color rgb="FF000000"/>
        <rFont val="Times New Roman"/>
        <family val="1"/>
      </rPr>
      <t xml:space="preserve"> Workers would have remained locked at the old wage of ₦30,000 while inflation destroyed its value.</t>
    </r>
  </si>
  <si>
    <t>Cost of a Bag of Rice (50kg)</t>
  </si>
  <si>
    <t>Panic-Driven Hyper-Pricing</t>
  </si>
  <si>
    <r>
      <t>Rationale:</t>
    </r>
    <r>
      <rPr>
        <sz val="10.5"/>
        <color rgb="FF000000"/>
        <rFont val="Times New Roman"/>
        <family val="1"/>
      </rPr>
      <t xml:space="preserve"> Hyperinflation and severe import restrictions break agricultural supply chains.</t>
    </r>
  </si>
  <si>
    <t>High Transition Cost</t>
  </si>
  <si>
    <r>
      <t>Human Implication:</t>
    </r>
    <r>
      <rPr>
        <sz val="10.5"/>
        <color rgb="FF000000"/>
        <rFont val="Times New Roman"/>
        <family val="1"/>
      </rPr>
      <t xml:space="preserve"> Staple foods would become luxury items, plunging millions of households into severe food insecurity.</t>
    </r>
  </si>
  <si>
    <t>Unemployment &amp; Poverty</t>
  </si>
  <si>
    <t>33.3% / 40%</t>
  </si>
  <si>
    <t>4.1%/63%</t>
  </si>
  <si>
    <t>Mass Systemic Destitution</t>
  </si>
  <si>
    <r>
      <t>Rationale:</t>
    </r>
    <r>
      <rPr>
        <sz val="10.5"/>
        <color rgb="FF000000"/>
        <rFont val="Times New Roman"/>
        <family val="1"/>
      </rPr>
      <t xml:space="preserve"> Business closures from fuel shortages and dollar scarcity trigger layoffs.</t>
    </r>
  </si>
  <si>
    <t>High but Structurally Stabilizing</t>
  </si>
  <si>
    <r>
      <t>Human Implication:</t>
    </r>
    <r>
      <rPr>
        <sz val="10.5"/>
        <color rgb="FF000000"/>
        <rFont val="Times New Roman"/>
        <family val="1"/>
      </rPr>
      <t xml:space="preserve"> Widespread layoffs in manufacturing, banking, and retail sectors would push millions of middle-class families below the poverty line.</t>
    </r>
  </si>
  <si>
    <t>NOTES</t>
  </si>
  <si>
    <t>FG share of FAAC includes FCT, ecological etc amounting to effective ratio of xx% of total FAAC revenue</t>
  </si>
  <si>
    <t>Savings from subsidy removal reflected in higher revenue inflows to FAAC and halt to the fiscal bleeding and mortgaging of future resources</t>
  </si>
  <si>
    <t>Monthly FAAC, IGR and Independent revenue of FG from 2020 to 2025</t>
  </si>
  <si>
    <t>Social safety includes cash transfers, concessional loans (SMEs, NELFUND, MREIF, CreditCorp, Family Homes etc.)</t>
  </si>
  <si>
    <t>IMF Debt repayment and paydown of Ways &amp; Means</t>
  </si>
  <si>
    <t>Get FCT capex and development commission funding</t>
  </si>
  <si>
    <t>Market feedback - Top contributor to global GDP, Eurobond Yield, NGX gains, etc</t>
  </si>
  <si>
    <t>Different from the budget performance report which covers all spending baseline and incremental</t>
  </si>
  <si>
    <t>FAAC Visual - 3 buckets (VAT, Derivation, Balance vs FG less Statutory amounts</t>
  </si>
  <si>
    <t>OFFICE OF THE ACCOUNTANT GENERAL OF THE FEDERATION</t>
  </si>
  <si>
    <t>FEDERATION ACCOUNT DEPARTMENT</t>
  </si>
  <si>
    <t>ANALYSIS OF MONTHLY FEDERATION ACCOUNT REVENUE PERFORMANCE AND DISTRIBUTION TO THREE TIERS OF GOVERNMENT FROM JANUARY TO DECEMBER, 2025</t>
  </si>
  <si>
    <t>DESCRIPTION</t>
  </si>
  <si>
    <t xml:space="preserve"> BUDGET</t>
  </si>
  <si>
    <t>JANUARY</t>
  </si>
  <si>
    <t>FEBRUARY</t>
  </si>
  <si>
    <t>SEPT.</t>
  </si>
  <si>
    <t>OCT.</t>
  </si>
  <si>
    <t>NOV.</t>
  </si>
  <si>
    <t>DEC.</t>
  </si>
  <si>
    <t>CUMMULATIVE</t>
  </si>
  <si>
    <t>ANNUAL</t>
  </si>
  <si>
    <t>MONTHLY</t>
  </si>
  <si>
    <t>GROSS INFLOW</t>
  </si>
  <si>
    <t>TOTAL BUDGET FOR 12 MONTHS</t>
  </si>
  <si>
    <t>TOTAL GROSS INFLOW (JANUARY TO DECEMBER)</t>
  </si>
  <si>
    <t>DIFF. B/W BUDGET AND NET INFLOW</t>
  </si>
  <si>
    <t>REVENUE PERFORMANCE</t>
  </si>
  <si>
    <t>=N= Billion</t>
  </si>
  <si>
    <t>%</t>
  </si>
  <si>
    <t>SUMMARY BY ORGANISATION</t>
  </si>
  <si>
    <t>a</t>
  </si>
  <si>
    <t>b</t>
  </si>
  <si>
    <t>c</t>
  </si>
  <si>
    <t>d</t>
  </si>
  <si>
    <t>e</t>
  </si>
  <si>
    <t>f</t>
  </si>
  <si>
    <t>g</t>
  </si>
  <si>
    <t>h</t>
  </si>
  <si>
    <t>j</t>
  </si>
  <si>
    <t>k</t>
  </si>
  <si>
    <t>l</t>
  </si>
  <si>
    <t>m</t>
  </si>
  <si>
    <t>n</t>
  </si>
  <si>
    <t>o=(b*12)</t>
  </si>
  <si>
    <t>p=(c+d+e+f+g+h+i+j+k+l+m+n)</t>
  </si>
  <si>
    <t>q=r-q</t>
  </si>
  <si>
    <t>r=(p/o)*100%</t>
  </si>
  <si>
    <t>OIL REVENUE</t>
  </si>
  <si>
    <t>FIRS</t>
  </si>
  <si>
    <t>NNPCL</t>
  </si>
  <si>
    <t>NUPRC</t>
  </si>
  <si>
    <t>NLNG DIVIDEND</t>
  </si>
  <si>
    <t>SUB TOTAL OIL</t>
  </si>
  <si>
    <t>NON OIL</t>
  </si>
  <si>
    <t>FIRS Non Oil</t>
  </si>
  <si>
    <t>VAT</t>
  </si>
  <si>
    <t xml:space="preserve">EMTL </t>
  </si>
  <si>
    <t>NCS</t>
  </si>
  <si>
    <t>SUB TOTAL NON OIL</t>
  </si>
  <si>
    <t>Add: Augmentation/Solid Minerals</t>
  </si>
  <si>
    <t xml:space="preserve">AMOUNT AVAILABLE </t>
  </si>
  <si>
    <t xml:space="preserve">Less </t>
  </si>
  <si>
    <t>Cost of collection</t>
  </si>
  <si>
    <t>Transfers, Intervention, Refunds and Savings</t>
  </si>
  <si>
    <t>Net Revenue for Distribution</t>
  </si>
  <si>
    <t>Distributed as follows</t>
  </si>
  <si>
    <t>FGN (48.50%, 14%)</t>
  </si>
  <si>
    <t>States (26.72%, 50%)</t>
  </si>
  <si>
    <t>LGCs (20.60%, 35%)</t>
  </si>
  <si>
    <t>Ecology Fund (1%)</t>
  </si>
  <si>
    <t>Stabilization Fund (0.5%)</t>
  </si>
  <si>
    <t>Development of Natural Resources (1.68%)</t>
  </si>
  <si>
    <t>FCT (1%)</t>
  </si>
  <si>
    <t>CHECK !!!</t>
  </si>
  <si>
    <t>Jan-Dec 2025</t>
  </si>
  <si>
    <t>ANALYSIS OF MONTHLY FEDERATION ACCOUNT REVENUE PERFORMANCE AND DISTRIBUTION TO THREE TIERS OF GOVERNMENT FROM JANUARY TO DECEMBER, 2024</t>
  </si>
  <si>
    <t>TOTAL REVENUE</t>
  </si>
  <si>
    <t>Net Distribution Revenue</t>
  </si>
  <si>
    <t>ANALYSIS OF MONTHLY FEDERATION ACCOUNT REVENUE PERFORMANCE AND DISTRIBUTION TO THREE TIERS OF GOVERNMENT FROM JANUARY TO DECEMBER, 2023</t>
  </si>
  <si>
    <t>June-Dec 2022</t>
  </si>
  <si>
    <t>One year pre-reform</t>
  </si>
  <si>
    <t>June-Dec 2023</t>
  </si>
  <si>
    <t>ANALYSIS OF MONTHLY FEDERATION ACCOUNT REVENUE PERFORMANCE AND DISTRIBUTION TO THREE TIERS OF GOVERNMENT FROM JANUARY TO DECEMBER, 2022</t>
  </si>
  <si>
    <t>Subsidy savings - Borrowing less</t>
  </si>
  <si>
    <t>BACKGROUND</t>
  </si>
  <si>
    <t>NNPCL remittances (higher naira value and more dollar remittances), depressed by obligations</t>
  </si>
  <si>
    <t>Central issue:</t>
  </si>
  <si>
    <t>Good understanding of public policy is necessary for accountability</t>
  </si>
  <si>
    <t>Taxes - Import duties, PPT &amp; Royalty, etc</t>
  </si>
  <si>
    <t>Questions:</t>
  </si>
  <si>
    <t xml:space="preserve">1. Subsidy was removed, where is the savings? </t>
  </si>
  <si>
    <t xml:space="preserve">FG shares only about 40% of FAAC </t>
  </si>
  <si>
    <t>2. Government says revenue is increasing and surpassing targets, why then do we still borrow?</t>
  </si>
  <si>
    <t>Revenue target exceeded included</t>
  </si>
  <si>
    <t>3. Where is all the borrowing going?</t>
  </si>
  <si>
    <t>Government was borrowing at unsustainable level to fund wasteful and distortionary fuel subsidy. Savings essentially meant less borrowing rather than a stack of new cash.</t>
  </si>
  <si>
    <t xml:space="preserve">Context: </t>
  </si>
  <si>
    <t>Government operates differently from private businesses, individuals or households often in the opposite direction to ensure balance. That distiction is important for economic development.</t>
  </si>
  <si>
    <t>The effective savings from the reform resulted from fuel subsidy removal and naira exchange rate floatation</t>
  </si>
  <si>
    <t>SUBSIDY SAVINGS</t>
  </si>
  <si>
    <t>Analysis of government revenue (annualised):</t>
  </si>
  <si>
    <t>N'trillion</t>
  </si>
  <si>
    <t>Post subsidy removal</t>
  </si>
  <si>
    <t>Pre subsidy removal</t>
  </si>
  <si>
    <t>Normal growth rate</t>
  </si>
  <si>
    <t>Subsidy savings</t>
  </si>
  <si>
    <t>Net increase</t>
  </si>
  <si>
    <t>States, LG &amp; Others</t>
  </si>
  <si>
    <t xml:space="preserve">Key message: </t>
  </si>
  <si>
    <t>BORROWING</t>
  </si>
  <si>
    <t>($'bn)</t>
  </si>
  <si>
    <t>External loans approved by NASS</t>
  </si>
  <si>
    <t xml:space="preserve">Actually external borrowing </t>
  </si>
  <si>
    <t>Approved borrowing not taken</t>
  </si>
  <si>
    <t>Key message:</t>
  </si>
  <si>
    <t>Not all announced approvals result in actual borrowing. Some of the announced approvals duplicate the same items e.g. MTEF and annual budget</t>
  </si>
  <si>
    <t>Total debt stock</t>
  </si>
  <si>
    <t>N'billion</t>
  </si>
  <si>
    <t>After reforms (31 Dec 2025)</t>
  </si>
  <si>
    <t>Before reforms (June 2023)</t>
  </si>
  <si>
    <t>Nominal increase</t>
  </si>
  <si>
    <t xml:space="preserve">Exch rate adjustment </t>
  </si>
  <si>
    <t>Net increase in xx months</t>
  </si>
  <si>
    <t>A significant portion of the increase in public debt is due to accounting and reporting rather than new borrowing.</t>
  </si>
  <si>
    <t xml:space="preserve">Also, there is a large portion of borrowing that represent refinancing (roll-over) rather than incremental borrowing </t>
  </si>
  <si>
    <t>Sovereigns don't necessarily need to pay back their debts</t>
  </si>
  <si>
    <t>UTILISATION</t>
  </si>
  <si>
    <t>Utilisation:</t>
  </si>
  <si>
    <t>Savings from fuel subsidy removal &amp; Naira floatation (annualised)</t>
  </si>
  <si>
    <t>Incremental expenditure:</t>
  </si>
  <si>
    <t>Incremental borrowing (annualised)</t>
  </si>
  <si>
    <t xml:space="preserve">   - Wage increases and awards</t>
  </si>
  <si>
    <t>Total incremental savings</t>
  </si>
  <si>
    <t xml:space="preserve">   - To replace Ways &amp; Means </t>
  </si>
  <si>
    <t xml:space="preserve">   - Incremental debt service cost </t>
  </si>
  <si>
    <t>Wage adjustments (min wage increase &amp; wage awards)</t>
  </si>
  <si>
    <t xml:space="preserve">   - Capital expenditure </t>
  </si>
  <si>
    <t>Infrastructure</t>
  </si>
  <si>
    <t xml:space="preserve">   - Debt repayment (IMF Loan)</t>
  </si>
  <si>
    <t>Debt service (rate increase to tackle inflation)</t>
  </si>
  <si>
    <t xml:space="preserve">   - NELFUND</t>
  </si>
  <si>
    <t>Cash transfers, concesional loans for SMEs, NELFUND etc</t>
  </si>
  <si>
    <t>Higher naira cost of dollar expenses (foreign debt service, international membership etc</t>
  </si>
  <si>
    <t xml:space="preserve">To replace Ways &amp; Means </t>
  </si>
  <si>
    <t>Note:</t>
  </si>
  <si>
    <t>The recorded savings from subsidy removal and naira floatation reflected in more naira tax revenue e.g. import duties</t>
  </si>
  <si>
    <t>REVENUE:</t>
  </si>
  <si>
    <t xml:space="preserve">Main revenue sources: </t>
  </si>
  <si>
    <t>States &amp; LGs</t>
  </si>
  <si>
    <t>FAAC - Oil derivation</t>
  </si>
  <si>
    <t>FAAC - Oil</t>
  </si>
  <si>
    <t>FAAC - Non Oil</t>
  </si>
  <si>
    <t>Stamp Duties / EMT</t>
  </si>
  <si>
    <t>Independent resources &amp; revenue sources:</t>
  </si>
  <si>
    <t>-</t>
  </si>
  <si>
    <t>Land</t>
  </si>
  <si>
    <t>Property taxes</t>
  </si>
  <si>
    <t>FOOTNOTE:</t>
  </si>
  <si>
    <t>Who benefits from borrowing?</t>
  </si>
  <si>
    <t>If GDP growth rate exceeds increase in debt and tax to GDP ratio exceeds cost of debt, then public debt is self-financing</t>
  </si>
  <si>
    <r>
      <t xml:space="preserve">Pre Subsidy Removal </t>
    </r>
    <r>
      <rPr>
        <b/>
        <i/>
        <strike/>
        <u val="doubleAccounting"/>
        <sz val="11"/>
        <color theme="1"/>
        <rFont val="Calibri"/>
        <family val="2"/>
      </rPr>
      <t>N</t>
    </r>
    <r>
      <rPr>
        <b/>
        <i/>
        <sz val="11"/>
        <color theme="1"/>
        <rFont val="Calibri"/>
        <family val="2"/>
      </rPr>
      <t xml:space="preserve"> 'Billion</t>
    </r>
  </si>
  <si>
    <r>
      <t xml:space="preserve">Post Subsidy Removal  </t>
    </r>
    <r>
      <rPr>
        <b/>
        <i/>
        <strike/>
        <sz val="11"/>
        <color theme="1"/>
        <rFont val="Calibri"/>
        <family val="2"/>
      </rPr>
      <t>N</t>
    </r>
    <r>
      <rPr>
        <b/>
        <i/>
        <sz val="11"/>
        <color theme="1"/>
        <rFont val="Calibri"/>
        <family val="2"/>
      </rPr>
      <t xml:space="preserve"> 'Billion</t>
    </r>
  </si>
  <si>
    <t xml:space="preserve">Ways &amp; Means </t>
  </si>
  <si>
    <t>Average 2018 - 2023</t>
  </si>
  <si>
    <t>Wage Adjustment</t>
  </si>
  <si>
    <t>Monthly</t>
  </si>
  <si>
    <t>Annual Incremental</t>
  </si>
  <si>
    <t>2023 Average</t>
  </si>
  <si>
    <t>2024 Average</t>
  </si>
  <si>
    <t>2025 Average</t>
  </si>
  <si>
    <t>FAAC Summary</t>
  </si>
  <si>
    <t xml:space="preserve">Foreign Subscriptions Annually </t>
  </si>
  <si>
    <t>CUMULATIVE ADDITIONAL ALLOCATION SINCE SUBSIDY REMOVAL</t>
  </si>
  <si>
    <t>Actual receipts over the 31 post-removal months vs. what each tier would have received had the pre-removal monthly run-rate simply continued.  ₦'Billion.</t>
  </si>
  <si>
    <t>Recipient</t>
  </si>
  <si>
    <t>Actual received
(Jun'23–Dec'25)</t>
  </si>
  <si>
    <t>At pre-removal
run-rate (31 mo.)</t>
  </si>
  <si>
    <t>Additional
allocation</t>
  </si>
  <si>
    <t>as ₦ trillion</t>
  </si>
  <si>
    <t>Federal Government (FG)</t>
  </si>
  <si>
    <t>Local Governments (LGCs)</t>
  </si>
  <si>
    <t>Ecology Fund</t>
  </si>
  <si>
    <t>Stabilization Fund</t>
  </si>
  <si>
    <t>Development of Natural Resources</t>
  </si>
  <si>
    <t>TOTAL — ALL RECIPIENTS</t>
  </si>
  <si>
    <t>FG's Effective Ratio</t>
  </si>
  <si>
    <t>States have received ~₦9.2 trillion and Local Governments ~₦6.7 trillion in additional allocation — a combined ~₦15.8 trillion for the sub-national tiers, and ~₦26.7 trillion across all recipients, relative to the pre-removal trajectory.</t>
  </si>
  <si>
    <t>Method: counterfactual holds the pre-removal monthly average constant across the 31 post-removal months. Difference vs. actual = additional allocation associated with the post-removal fiscal environment (subsidy removal plus concurrent FX unification and revenue reforms). Figures are nominal and not inflation-adjusted.</t>
  </si>
  <si>
    <t>Effect of Exchange Rate Devaluation on External Debt Service (2023 – Q1 2026)</t>
  </si>
  <si>
    <t>Impact of Devaluation</t>
  </si>
  <si>
    <t>Actual External Debt Service - External Debt Service @ Base Exchange Rate (N'M) (B-A)</t>
  </si>
  <si>
    <t>Nelfund</t>
  </si>
  <si>
    <t>Credit Corp</t>
  </si>
  <si>
    <t>OFFICE OF THE ACCOUNTANT-GENERAL OF THE FEDERATION</t>
  </si>
  <si>
    <t>FUNDS DEPARTMENT, GARKI II, ABUJA</t>
  </si>
  <si>
    <r>
      <t xml:space="preserve">                  </t>
    </r>
    <r>
      <rPr>
        <b/>
        <u/>
        <sz val="20"/>
        <rFont val="Arial"/>
        <family val="2"/>
      </rPr>
      <t>DETAILS OF PERSONNEL AND OVERHEAD COST RELEASED TO MINISTRIES DEPARTMENTS AND AGENCIES, AND STATUTORY PENSION AND TRANSFER FOR THE PERIOD MAY, 2023 TO DECEMBER, 2023</t>
    </r>
  </si>
  <si>
    <t>May 2023 - Dec 2023</t>
  </si>
  <si>
    <t>BUDGET                                               (#)</t>
  </si>
  <si>
    <t>MAY                                               (#)</t>
  </si>
  <si>
    <t>JUNE                                           (#)</t>
  </si>
  <si>
    <t>JULY                               (#)</t>
  </si>
  <si>
    <t>AUGUST                   (#)</t>
  </si>
  <si>
    <t>SEPTEMBER                      (#)</t>
  </si>
  <si>
    <t>OCTOBER                        (#)</t>
  </si>
  <si>
    <t xml:space="preserve"> NOVEMBER                       (#)</t>
  </si>
  <si>
    <t>DECEMBER         (#)</t>
  </si>
  <si>
    <t>ADDITIONAL FUNDS (#)</t>
  </si>
  <si>
    <t>TOTAL                              (#)</t>
  </si>
  <si>
    <t>VARIANCE                            =N=</t>
  </si>
  <si>
    <t xml:space="preserve">                 %</t>
  </si>
  <si>
    <t>PERSONNEL</t>
  </si>
  <si>
    <t>STATUTORY PENSION</t>
  </si>
  <si>
    <t>STATUTORY TRANSFER</t>
  </si>
  <si>
    <t>Jan - Dec 2024</t>
  </si>
  <si>
    <t>BUDGET                     (#)</t>
  </si>
  <si>
    <t>JANUARY                            (#)</t>
  </si>
  <si>
    <t>FEBRUARY                                (#)</t>
  </si>
  <si>
    <t>MARCH                                    (#)</t>
  </si>
  <si>
    <t>APRIL                          (#)</t>
  </si>
  <si>
    <t>MAY                                    (#)</t>
  </si>
  <si>
    <t>JUNE                                               (#)</t>
  </si>
  <si>
    <t>JULY                                            (#)</t>
  </si>
  <si>
    <t>AUGUST                               (#)</t>
  </si>
  <si>
    <t>SEPTEMBER                    (#)</t>
  </si>
  <si>
    <t>OCTOBER                      (#)</t>
  </si>
  <si>
    <t>NOVEMBER                        (#)</t>
  </si>
  <si>
    <t xml:space="preserve"> DECEMBER                       (#)</t>
  </si>
  <si>
    <t>Jan - Dec 2025</t>
  </si>
  <si>
    <t>2025  BUDGET                     (#)</t>
  </si>
  <si>
    <t>Excess</t>
  </si>
  <si>
    <t>SUMMARY OF INFLOW INTO 3% EDUCATION TAX POOL A/C AND DISBURSEMENT TO NELFUND FOR THE YEAR 2024 TO JULY 2026</t>
  </si>
  <si>
    <t>DATE</t>
  </si>
  <si>
    <t>AMOUNT DISBURSED TO NELFUND</t>
  </si>
  <si>
    <t>SOURCE</t>
  </si>
  <si>
    <t>3% EDT</t>
  </si>
  <si>
    <t>15% DEVELOPMENT LEVY</t>
  </si>
  <si>
    <t>Abridged borrowing plan - October 2023</t>
  </si>
  <si>
    <t>s/n</t>
  </si>
  <si>
    <t>Project title</t>
  </si>
  <si>
    <t>amount (USD)</t>
  </si>
  <si>
    <t>partner</t>
  </si>
  <si>
    <t>implementing period</t>
  </si>
  <si>
    <t>Implementing MDA</t>
  </si>
  <si>
    <t>Nigeria - AF Power Recovery Performance Based Operation</t>
  </si>
  <si>
    <t xml:space="preserve">world bank  </t>
  </si>
  <si>
    <t>3-4</t>
  </si>
  <si>
    <t>Federal Ministry of Finance, Budget and National Planning</t>
  </si>
  <si>
    <t>Adolescent Girls Initiative for Learning and Empowerment - Additional Financing (AGILE - AF)</t>
  </si>
  <si>
    <t>Federal Minisntry of Education</t>
  </si>
  <si>
    <t>Nigeria: State Action on Business Enabling Reforms (SABER)</t>
  </si>
  <si>
    <t>3</t>
  </si>
  <si>
    <t>Nigeria Distribution Sector Recovery Program (DISREP)</t>
  </si>
  <si>
    <t>5-6</t>
  </si>
  <si>
    <t>Bureau of Public Enterprises</t>
  </si>
  <si>
    <t>Nigeria for Women Program Scale Up (AF)</t>
  </si>
  <si>
    <t>5</t>
  </si>
  <si>
    <t>Federal Minsitry of Women Affairs</t>
  </si>
  <si>
    <t>Reset Development Policy Operation</t>
  </si>
  <si>
    <t>Federal Ministry of Finance</t>
  </si>
  <si>
    <t>NG Accelerating Resource Mobilisation Reforms PforR (ARMOR)</t>
  </si>
  <si>
    <t>Distributed Access to Renewable Energy Scale-Up</t>
  </si>
  <si>
    <t>Rural Electrification Agency</t>
  </si>
  <si>
    <t>Investment in Digital and Creative Enterprises (I-Dice)</t>
  </si>
  <si>
    <t>AfDB</t>
  </si>
  <si>
    <t>Bank of Industry</t>
  </si>
  <si>
    <t>Special Agro Processing Zone (cofinance by other partners)</t>
  </si>
  <si>
    <t>Federal Ministry of Agriculture, Oyo, Ogun, Cross River, Kaduna, Imo states</t>
  </si>
  <si>
    <t>AGTF</t>
  </si>
  <si>
    <t>Lekki Concession Company - Lagos State Government</t>
  </si>
  <si>
    <t>15</t>
  </si>
  <si>
    <t>Lagos State</t>
  </si>
  <si>
    <t>National Agricultural Growth Scheme (NAGS) - Budget support to mitigate russia- Ukraine Invasion</t>
  </si>
  <si>
    <t>1</t>
  </si>
  <si>
    <t>Federal Ministry of Agriculture and Rural Development</t>
  </si>
  <si>
    <t>Economic Reform Support Programme Policy Base (operation budget support)</t>
  </si>
  <si>
    <t>Ekiti Knowledge Zone</t>
  </si>
  <si>
    <t>Ekiti State</t>
  </si>
  <si>
    <t>Affordable Decent Housing</t>
  </si>
  <si>
    <t>Family Homes Fund</t>
  </si>
  <si>
    <t>Nigeria Innovation Program (i-dice)</t>
  </si>
  <si>
    <t>IsDB</t>
  </si>
  <si>
    <t>7th Axial Road (Lekki Deep Sea Port Access Road)</t>
  </si>
  <si>
    <t>China EximBank</t>
  </si>
  <si>
    <t>Total in USD($)</t>
  </si>
  <si>
    <t>amount (Euro)</t>
  </si>
  <si>
    <t>AFD</t>
  </si>
  <si>
    <t>Office of the Vice President</t>
  </si>
  <si>
    <t>Total in Euro</t>
  </si>
  <si>
    <t>Approval of New External  borrowing 2024</t>
  </si>
  <si>
    <t>amount in (USD)</t>
  </si>
  <si>
    <t>amount in (NGN)</t>
  </si>
  <si>
    <t>Comment</t>
  </si>
  <si>
    <t>total approval as in 2024 appropriation act (issued in eurobonds)</t>
  </si>
  <si>
    <t>Exchange rate of $1/NGN800</t>
  </si>
  <si>
    <t>Approval of New External  borrowing 2025</t>
  </si>
  <si>
    <t xml:space="preserve">Total Facility for 2025-2026 External Borrowing </t>
  </si>
  <si>
    <t>$21,890,647,912</t>
  </si>
  <si>
    <t>breakdown attached to next sheet</t>
  </si>
  <si>
    <t>dollar denominated domestic borrowing</t>
  </si>
  <si>
    <t>$2,000,000,000</t>
  </si>
  <si>
    <t>approved according to nass records but no documentation within the ministry to back it</t>
  </si>
  <si>
    <t>lagos calabar</t>
  </si>
  <si>
    <t>$347,000,000</t>
  </si>
  <si>
    <t>MONTHLY AVERAGE ALLOCATION — PRE vs POST SUBSIDY REMOVAL</t>
  </si>
  <si>
    <t>Period totals converted to a comparable monthly run-rate (Pre = 17 months; Post = 31 months). ₦'Billion per month.</t>
  </si>
  <si>
    <t>Pre-subsidy
monthly avg</t>
  </si>
  <si>
    <t>Post-subsidy
monthly avg</t>
  </si>
  <si>
    <t>Increase
per month</t>
  </si>
  <si>
    <t>% change</t>
  </si>
  <si>
    <t>Annualised
increase (×12)</t>
  </si>
  <si>
    <t>STATES + LOCAL GOVERNMENTS</t>
  </si>
  <si>
    <t>ALL SUB-NATIONAL (States, LGs, 13% Deriv., FCT)</t>
  </si>
  <si>
    <t>KEY TAKEAWAY:  States' average monthly FAAC rose from ~₦179bn to ~₦475bn (+165%); Local Governments from ~₦132bn to ~₦347bn (+162%). Together, States and LGs now receive over ₦510bn more every month — about ₦6.1 trillion more on an annualised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</si>
</sst>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43" formatCode="_(* #,##0.00_);_(* \(#,##0.00\);_(* &quot;-&quot;??_);_(@_)"/>
    <numFmt numFmtId="164" formatCode="&quot;₦&quot;#,##0_);[Red]\(&quot;₦&quot;#,##0\)"/>
    <numFmt numFmtId="165" formatCode="_-* #,##0.00_-;\-* #,##0.00_-;_-* &quot;-&quot;??_-;_-@_-"/>
    <numFmt numFmtId="166" formatCode="#,##0.0;\(#,##0.0\);\-"/>
    <numFmt numFmtId="167" formatCode="_-* #,##0.000_-;\-* #,##0.000_-;_-* &quot;-&quot;??_-;_-@_-"/>
    <numFmt numFmtId="168" formatCode="0.000"/>
    <numFmt numFmtId="169" formatCode="#,##0.000_);\(#,##0.000\)"/>
    <numFmt numFmtId="170" formatCode="0.0%;\(0.0%\);\-"/>
    <numFmt numFmtId="171" formatCode="[$€-413]\ #,##0.00"/>
    <numFmt numFmtId="172" formatCode="[$¥-411]#,##0.00"/>
    <numFmt numFmtId="173" formatCode="_(* #,##0_);_(* \(#,##0\);_(* &quot;-&quot;??_);_(@_)"/>
    <numFmt numFmtId="174" formatCode="_-* #,##0.0000_-;\-* #,##0.0000_-;_-* &quot;-&quot;??_-;_-@_-"/>
    <numFmt numFmtId="175" formatCode="_ * #,##0.00_ ;_ * \-#,##0.00_ ;_ * &quot;-&quot;??_ ;_ @_ "/>
    <numFmt numFmtId="176" formatCode="#,##0.0000"/>
  </numFmts>
  <fonts count="157">
    <font>
      <sz val="10"/>
      <color rgb="FF000000"/>
      <name val="Arial"/>
      <scheme val="minor"/>
    </font>
    <font>
      <sz val="11"/>
      <color theme="1"/>
      <name val="Arial"/>
      <family val="2"/>
      <scheme val="minor"/>
    </font>
    <font>
      <sz val="11"/>
      <color theme="1"/>
      <name val="Arial"/>
      <family val="2"/>
      <scheme val="minor"/>
    </font>
    <font>
      <sz val="10"/>
      <color theme="1"/>
      <name val="Arial"/>
      <family val="2"/>
      <scheme val="minor"/>
    </font>
    <font>
      <b/>
      <sz val="12"/>
      <color theme="1"/>
      <name val="Arial"/>
      <family val="2"/>
      <scheme val="minor"/>
    </font>
    <font>
      <sz val="11"/>
      <color rgb="FF222222"/>
      <name val="Arial"/>
      <family val="2"/>
    </font>
    <font>
      <sz val="10"/>
      <color rgb="FF980000"/>
      <name val="Arial"/>
      <family val="2"/>
      <scheme val="minor"/>
    </font>
    <font>
      <b/>
      <sz val="10"/>
      <color theme="1"/>
      <name val="Arial"/>
      <family val="2"/>
      <scheme val="minor"/>
    </font>
    <font>
      <sz val="10"/>
      <name val="Arial"/>
      <family val="2"/>
    </font>
    <font>
      <b/>
      <i/>
      <sz val="10"/>
      <color theme="1"/>
      <name val="Arial"/>
      <family val="2"/>
      <scheme val="minor"/>
    </font>
    <font>
      <i/>
      <sz val="10"/>
      <color theme="1"/>
      <name val="Arial"/>
      <family val="2"/>
      <scheme val="minor"/>
    </font>
    <font>
      <sz val="10"/>
      <color rgb="FF000000"/>
      <name val="Arial"/>
      <family val="2"/>
      <scheme val="minor"/>
    </font>
    <font>
      <b/>
      <sz val="11"/>
      <color theme="1"/>
      <name val="Arial"/>
      <family val="2"/>
      <scheme val="minor"/>
    </font>
    <font>
      <sz val="11"/>
      <color theme="1"/>
      <name val="Calibri"/>
      <family val="2"/>
      <charset val="1"/>
    </font>
    <font>
      <b/>
      <sz val="14"/>
      <color rgb="FF1B5E20"/>
      <name val="Arial"/>
      <family val="2"/>
    </font>
    <font>
      <i/>
      <sz val="9"/>
      <color rgb="FF5F6368"/>
      <name val="Arial"/>
      <family val="2"/>
    </font>
    <font>
      <b/>
      <sz val="10"/>
      <color rgb="FFFFFFFF"/>
      <name val="Arial"/>
      <family val="2"/>
    </font>
    <font>
      <sz val="10"/>
      <color rgb="FF000000"/>
      <name val="Arial"/>
      <family val="2"/>
    </font>
    <font>
      <b/>
      <sz val="10"/>
      <color rgb="FF000000"/>
      <name val="Arial"/>
      <family val="2"/>
    </font>
    <font>
      <b/>
      <sz val="10"/>
      <color rgb="FF1B5E20"/>
      <name val="Arial"/>
      <family val="2"/>
    </font>
    <font>
      <i/>
      <sz val="8.5"/>
      <color rgb="FF5F6368"/>
      <name val="Arial"/>
      <family val="2"/>
    </font>
    <font>
      <sz val="11"/>
      <color theme="1"/>
      <name val="Arial"/>
      <family val="2"/>
    </font>
    <font>
      <sz val="12"/>
      <color theme="1"/>
      <name val="Arial"/>
      <family val="2"/>
      <scheme val="minor"/>
    </font>
    <font>
      <b/>
      <sz val="12"/>
      <color rgb="FF000000"/>
      <name val="Arial"/>
      <family val="2"/>
      <scheme val="minor"/>
    </font>
    <font>
      <sz val="12"/>
      <color rgb="FF000000"/>
      <name val="Arial"/>
      <family val="2"/>
      <scheme val="minor"/>
    </font>
    <font>
      <sz val="10"/>
      <color rgb="FFFF0000"/>
      <name val="Arial"/>
      <family val="2"/>
      <scheme val="minor"/>
    </font>
    <font>
      <sz val="10"/>
      <color theme="1"/>
      <name val="Arial"/>
      <family val="2"/>
      <scheme val="minor"/>
    </font>
    <font>
      <b/>
      <sz val="9"/>
      <color rgb="FF000000"/>
      <name val="Tahoma"/>
      <family val="2"/>
    </font>
    <font>
      <sz val="9"/>
      <color rgb="FF000000"/>
      <name val="Tahoma"/>
      <family val="2"/>
    </font>
    <font>
      <b/>
      <sz val="10"/>
      <color rgb="FF000000"/>
      <name val="Arial"/>
      <family val="2"/>
      <scheme val="minor"/>
    </font>
    <font>
      <b/>
      <sz val="12"/>
      <name val="Arial"/>
      <family val="2"/>
    </font>
    <font>
      <sz val="12"/>
      <color theme="1"/>
      <name val="Arial"/>
      <family val="2"/>
    </font>
    <font>
      <sz val="12"/>
      <name val="Arial"/>
      <family val="2"/>
    </font>
    <font>
      <b/>
      <sz val="12"/>
      <color theme="1"/>
      <name val="Arial"/>
      <family val="2"/>
    </font>
    <font>
      <b/>
      <sz val="11"/>
      <name val="Arial"/>
      <family val="2"/>
    </font>
    <font>
      <sz val="11"/>
      <name val="Arial"/>
      <family val="2"/>
    </font>
    <font>
      <b/>
      <sz val="11"/>
      <color theme="1"/>
      <name val="Arial"/>
      <family val="2"/>
    </font>
    <font>
      <sz val="10"/>
      <color rgb="FF000000"/>
      <name val="Tahoma"/>
      <family val="2"/>
    </font>
    <font>
      <sz val="11"/>
      <color theme="1"/>
      <name val="Calibri"/>
      <family val="2"/>
    </font>
    <font>
      <sz val="11"/>
      <color rgb="FF000000"/>
      <name val="Calibri"/>
      <family val="2"/>
    </font>
    <font>
      <sz val="11"/>
      <name val="Calibri"/>
      <family val="2"/>
    </font>
    <font>
      <b/>
      <sz val="24"/>
      <name val="Calibri"/>
      <family val="2"/>
    </font>
    <font>
      <b/>
      <sz val="20"/>
      <name val="Calibri"/>
      <family val="2"/>
    </font>
    <font>
      <b/>
      <sz val="24"/>
      <color rgb="FF000000"/>
      <name val="Calibri"/>
      <family val="2"/>
    </font>
    <font>
      <sz val="20"/>
      <name val="Calibri"/>
      <family val="2"/>
    </font>
    <font>
      <sz val="20"/>
      <color rgb="FF000000"/>
      <name val="Calibri"/>
      <family val="2"/>
    </font>
    <font>
      <b/>
      <sz val="20"/>
      <name val="Arial"/>
      <family val="2"/>
    </font>
    <font>
      <b/>
      <u/>
      <sz val="20"/>
      <name val="Arial"/>
      <family val="2"/>
    </font>
    <font>
      <b/>
      <u/>
      <sz val="12"/>
      <color rgb="FF000000"/>
      <name val="Calibri"/>
      <family val="2"/>
    </font>
    <font>
      <b/>
      <sz val="14"/>
      <name val="Arial"/>
      <family val="2"/>
    </font>
    <font>
      <sz val="14"/>
      <name val="Arial"/>
      <family val="2"/>
    </font>
    <font>
      <sz val="12"/>
      <color indexed="72"/>
      <name val="Arial"/>
      <family val="2"/>
    </font>
    <font>
      <sz val="11"/>
      <color rgb="FF000000"/>
      <name val="Arial"/>
      <family val="2"/>
    </font>
    <font>
      <b/>
      <sz val="11"/>
      <color rgb="FF000000"/>
      <name val="Calibri"/>
      <family val="2"/>
    </font>
    <font>
      <b/>
      <i/>
      <sz val="11"/>
      <color theme="1"/>
      <name val="Calibri"/>
      <family val="2"/>
    </font>
    <font>
      <b/>
      <i/>
      <strike/>
      <u val="doubleAccounting"/>
      <sz val="11"/>
      <color theme="1"/>
      <name val="Calibri"/>
      <family val="2"/>
    </font>
    <font>
      <b/>
      <i/>
      <strike/>
      <sz val="11"/>
      <color theme="1"/>
      <name val="Calibri"/>
      <family val="2"/>
    </font>
    <font>
      <b/>
      <sz val="11"/>
      <color theme="1"/>
      <name val="Calibri"/>
      <family val="2"/>
    </font>
    <font>
      <sz val="10"/>
      <color rgb="FF000000"/>
      <name val="Calibri"/>
      <family val="2"/>
    </font>
    <font>
      <b/>
      <sz val="11"/>
      <name val="Calibri"/>
      <family val="2"/>
    </font>
    <font>
      <b/>
      <sz val="11"/>
      <color rgb="FF000000"/>
      <name val="Arial"/>
      <family val="2"/>
    </font>
    <font>
      <sz val="11"/>
      <color indexed="72"/>
      <name val="Arial"/>
      <family val="2"/>
    </font>
    <font>
      <b/>
      <sz val="11"/>
      <color theme="1"/>
      <name val="Tahoma"/>
      <family val="2"/>
    </font>
    <font>
      <sz val="11"/>
      <color theme="1"/>
      <name val="Tahoma"/>
      <family val="2"/>
    </font>
    <font>
      <sz val="11"/>
      <color rgb="FF000000"/>
      <name val="Arial"/>
      <family val="2"/>
      <scheme val="minor"/>
    </font>
    <font>
      <b/>
      <sz val="11.5"/>
      <color rgb="FF1F3864"/>
      <name val="Trebuchet MS"/>
      <family val="2"/>
    </font>
    <font>
      <b/>
      <sz val="11.5"/>
      <color rgb="FFFFFFFF"/>
      <name val="Trebuchet MS"/>
      <family val="2"/>
    </font>
    <font>
      <b/>
      <sz val="11.5"/>
      <name val="Trebuchet MS"/>
      <family val="2"/>
    </font>
    <font>
      <sz val="11.5"/>
      <name val="Trebuchet MS"/>
      <family val="2"/>
    </font>
    <font>
      <sz val="11.5"/>
      <color rgb="FF000000"/>
      <name val="Trebuchet MS"/>
      <family val="2"/>
    </font>
    <font>
      <b/>
      <sz val="10"/>
      <name val="Trebuchet MS"/>
      <family val="2"/>
    </font>
    <font>
      <b/>
      <sz val="10"/>
      <color rgb="FF000000"/>
      <name val="Trebuchet MS"/>
      <family val="2"/>
    </font>
    <font>
      <b/>
      <sz val="11.5"/>
      <color rgb="FF000000"/>
      <name val="Trebuchet MS"/>
      <family val="2"/>
    </font>
    <font>
      <b/>
      <sz val="11.5"/>
      <color theme="1"/>
      <name val="Trebuchet MS"/>
      <family val="2"/>
    </font>
    <font>
      <sz val="11.5"/>
      <color theme="1"/>
      <name val="Trebuchet MS"/>
      <family val="2"/>
    </font>
    <font>
      <sz val="10"/>
      <color theme="1"/>
      <name val="Trebuchet MS"/>
      <family val="2"/>
    </font>
    <font>
      <sz val="8"/>
      <name val="Arial"/>
      <family val="2"/>
      <scheme val="minor"/>
    </font>
    <font>
      <b/>
      <sz val="11"/>
      <color rgb="FF000000"/>
      <name val="Arial"/>
      <family val="2"/>
      <scheme val="minor"/>
    </font>
    <font>
      <sz val="12"/>
      <color rgb="FF00B050"/>
      <name val="Arial"/>
      <family val="2"/>
    </font>
    <font>
      <b/>
      <sz val="12"/>
      <color rgb="FF00B050"/>
      <name val="Arial"/>
      <family val="2"/>
    </font>
    <font>
      <sz val="12"/>
      <color rgb="FFFF0000"/>
      <name val="Arial"/>
      <family val="2"/>
    </font>
    <font>
      <b/>
      <sz val="12"/>
      <color rgb="FFFF0000"/>
      <name val="Arial"/>
      <family val="2"/>
    </font>
    <font>
      <sz val="12"/>
      <color theme="4"/>
      <name val="Arial"/>
      <family val="2"/>
    </font>
    <font>
      <b/>
      <sz val="12"/>
      <color theme="4"/>
      <name val="Arial"/>
      <family val="2"/>
    </font>
    <font>
      <sz val="12"/>
      <color rgb="FF7030A0"/>
      <name val="Arial"/>
      <family val="2"/>
    </font>
    <font>
      <b/>
      <sz val="12"/>
      <color rgb="FF7030A0"/>
      <name val="Arial"/>
      <family val="2"/>
    </font>
    <font>
      <sz val="11"/>
      <color rgb="FF000000"/>
      <name val="Arial (Body)"/>
    </font>
    <font>
      <b/>
      <sz val="11"/>
      <color rgb="FF000000"/>
      <name val="Arial (Body)"/>
    </font>
    <font>
      <i/>
      <sz val="11"/>
      <color rgb="FF000000"/>
      <name val="Arial (Body)"/>
    </font>
    <font>
      <b/>
      <sz val="11"/>
      <color theme="7" tint="-0.249977111117893"/>
      <name val="Arial"/>
      <family val="2"/>
      <scheme val="minor"/>
    </font>
    <font>
      <b/>
      <sz val="11"/>
      <color theme="0"/>
      <name val="Arial"/>
      <family val="2"/>
      <scheme val="minor"/>
    </font>
    <font>
      <sz val="11"/>
      <color theme="7"/>
      <name val="Arial"/>
      <family val="2"/>
    </font>
    <font>
      <b/>
      <sz val="11"/>
      <color theme="7"/>
      <name val="Arial"/>
      <family val="2"/>
    </font>
    <font>
      <sz val="11"/>
      <color rgb="FFFF0000"/>
      <name val="Arial"/>
      <family val="2"/>
    </font>
    <font>
      <b/>
      <sz val="11"/>
      <color rgb="FFFF0000"/>
      <name val="Arial"/>
      <family val="2"/>
    </font>
    <font>
      <sz val="11"/>
      <color theme="4"/>
      <name val="Arial"/>
      <family val="2"/>
    </font>
    <font>
      <b/>
      <sz val="11"/>
      <color theme="4"/>
      <name val="Arial"/>
      <family val="2"/>
    </font>
    <font>
      <sz val="11"/>
      <color rgb="FF7030A0"/>
      <name val="Arial"/>
      <family val="2"/>
    </font>
    <font>
      <b/>
      <sz val="11"/>
      <color rgb="FF7030A0"/>
      <name val="Arial"/>
      <family val="2"/>
    </font>
    <font>
      <sz val="11"/>
      <color rgb="FF00B050"/>
      <name val="Arial"/>
      <family val="2"/>
    </font>
    <font>
      <b/>
      <sz val="11"/>
      <color rgb="FF00B050"/>
      <name val="Arial"/>
      <family val="2"/>
    </font>
    <font>
      <sz val="11"/>
      <color theme="6" tint="-0.249977111117893"/>
      <name val="Arial"/>
      <family val="2"/>
    </font>
    <font>
      <b/>
      <sz val="11"/>
      <color theme="6" tint="-0.249977111117893"/>
      <name val="Arial"/>
      <family val="2"/>
    </font>
    <font>
      <sz val="9"/>
      <color rgb="FF000000"/>
      <name val="Arial"/>
      <family val="2"/>
      <scheme val="minor"/>
    </font>
    <font>
      <strike/>
      <sz val="11"/>
      <color rgb="FF000000"/>
      <name val="Arial"/>
      <family val="2"/>
      <scheme val="minor"/>
    </font>
    <font>
      <b/>
      <sz val="11"/>
      <name val="Arial"/>
      <family val="2"/>
      <scheme val="minor"/>
    </font>
    <font>
      <sz val="11"/>
      <name val="Arial"/>
      <family val="2"/>
      <scheme val="minor"/>
    </font>
    <font>
      <b/>
      <sz val="11"/>
      <color rgb="FFC00000"/>
      <name val="Arial"/>
      <family val="2"/>
      <scheme val="minor"/>
    </font>
    <font>
      <i/>
      <sz val="11"/>
      <color theme="1"/>
      <name val="Arial"/>
      <family val="2"/>
      <scheme val="minor"/>
    </font>
    <font>
      <b/>
      <sz val="10"/>
      <color rgb="FFC00000"/>
      <name val="Arial"/>
      <family val="2"/>
      <scheme val="minor"/>
    </font>
    <font>
      <sz val="10"/>
      <color rgb="FFC00000"/>
      <name val="Arial"/>
      <family val="2"/>
      <scheme val="minor"/>
    </font>
    <font>
      <b/>
      <sz val="12"/>
      <color rgb="FF000000"/>
      <name val="Calibri"/>
      <family val="2"/>
    </font>
    <font>
      <sz val="12"/>
      <color rgb="FF000000"/>
      <name val="Calibri"/>
      <family val="2"/>
    </font>
    <font>
      <sz val="12"/>
      <color theme="1"/>
      <name val="Calibri"/>
      <family val="2"/>
    </font>
    <font>
      <sz val="12"/>
      <color rgb="FFFF0000"/>
      <name val="Calibri"/>
      <family val="2"/>
    </font>
    <font>
      <b/>
      <sz val="12"/>
      <color theme="1"/>
      <name val="Calibri"/>
      <family val="2"/>
    </font>
    <font>
      <b/>
      <sz val="16"/>
      <color rgb="FF000000"/>
      <name val="Calibri"/>
      <family val="2"/>
    </font>
    <font>
      <sz val="11"/>
      <color rgb="FF222222"/>
      <name val="Calibri"/>
      <family val="2"/>
    </font>
    <font>
      <i/>
      <sz val="11"/>
      <color rgb="FF000000"/>
      <name val="Calibri"/>
      <family val="2"/>
    </font>
    <font>
      <b/>
      <sz val="11"/>
      <color rgb="FF1F3864"/>
      <name val="Calibri"/>
      <family val="2"/>
    </font>
    <font>
      <b/>
      <sz val="11"/>
      <color rgb="FF7A1F2B"/>
      <name val="Calibri"/>
      <family val="2"/>
    </font>
    <font>
      <sz val="11"/>
      <color rgb="FF7030A0"/>
      <name val="Arial"/>
      <family val="2"/>
      <scheme val="minor"/>
    </font>
    <font>
      <b/>
      <sz val="11"/>
      <color rgb="FF7030A0"/>
      <name val="Arial"/>
      <family val="2"/>
      <scheme val="minor"/>
    </font>
    <font>
      <b/>
      <u/>
      <sz val="11"/>
      <color theme="1"/>
      <name val="Arial"/>
      <family val="2"/>
      <scheme val="minor"/>
    </font>
    <font>
      <strike/>
      <sz val="11"/>
      <color theme="1"/>
      <name val="Arial"/>
      <family val="2"/>
      <scheme val="minor"/>
    </font>
    <font>
      <sz val="11"/>
      <color theme="0" tint="-0.14999847407452621"/>
      <name val="Arial (Body)"/>
    </font>
    <font>
      <sz val="11"/>
      <color theme="0" tint="-0.14999847407452621"/>
      <name val="Calibri"/>
      <family val="2"/>
    </font>
    <font>
      <b/>
      <sz val="11"/>
      <color theme="0" tint="-0.249977111117893"/>
      <name val="Arial (Body)"/>
    </font>
    <font>
      <sz val="11"/>
      <color theme="0" tint="-0.249977111117893"/>
      <name val="Arial (Body)"/>
    </font>
    <font>
      <b/>
      <sz val="11"/>
      <color theme="0" tint="-0.249977111117893"/>
      <name val="Calibri"/>
      <family val="2"/>
    </font>
    <font>
      <sz val="11"/>
      <color theme="0" tint="-0.249977111117893"/>
      <name val="Calibri"/>
      <family val="2"/>
    </font>
    <font>
      <b/>
      <i/>
      <sz val="11"/>
      <color theme="0" tint="-0.249977111117893"/>
      <name val="Calibri"/>
      <family val="2"/>
    </font>
    <font>
      <b/>
      <i/>
      <strike/>
      <u val="doubleAccounting"/>
      <sz val="11"/>
      <color theme="0" tint="-0.249977111117893"/>
      <name val="Calibri"/>
      <family val="2"/>
    </font>
    <font>
      <b/>
      <i/>
      <strike/>
      <sz val="11"/>
      <color theme="0" tint="-0.249977111117893"/>
      <name val="Calibri"/>
      <family val="2"/>
    </font>
    <font>
      <sz val="10"/>
      <color theme="0" tint="-0.249977111117893"/>
      <name val="Calibri"/>
      <family val="2"/>
    </font>
    <font>
      <sz val="11"/>
      <color rgb="FF222222"/>
      <name val="Arial"/>
      <family val="2"/>
      <scheme val="minor"/>
    </font>
    <font>
      <sz val="10.5"/>
      <color rgb="FF000000"/>
      <name val="Times New Roman"/>
      <family val="1"/>
    </font>
    <font>
      <b/>
      <sz val="10.5"/>
      <color rgb="FF000000"/>
      <name val="Times New Roman"/>
      <family val="1"/>
    </font>
    <font>
      <b/>
      <i/>
      <sz val="10.5"/>
      <color rgb="FF000000"/>
      <name val="Times New Roman"/>
      <family val="1"/>
    </font>
    <font>
      <b/>
      <i/>
      <sz val="11"/>
      <color rgb="FF000000"/>
      <name val="Arial"/>
      <family val="2"/>
      <scheme val="minor"/>
    </font>
    <font>
      <b/>
      <sz val="12"/>
      <color rgb="FF000000"/>
      <name val="Times New Roman"/>
      <family val="1"/>
    </font>
    <font>
      <i/>
      <sz val="12"/>
      <color rgb="FF000000"/>
      <name val="Times New Roman"/>
      <family val="1"/>
    </font>
    <font>
      <i/>
      <sz val="10.5"/>
      <color rgb="FF000000"/>
      <name val="Times New Roman"/>
      <family val="1"/>
    </font>
    <font>
      <strike/>
      <sz val="10.5"/>
      <color rgb="FF000000"/>
      <name val="Times New Roman"/>
      <family val="1"/>
    </font>
    <font>
      <b/>
      <sz val="11"/>
      <color rgb="FFFF0000"/>
      <name val="Arial"/>
      <family val="2"/>
      <scheme val="minor"/>
    </font>
    <font>
      <b/>
      <sz val="12"/>
      <color theme="0"/>
      <name val="Arial"/>
      <family val="2"/>
      <scheme val="minor"/>
    </font>
    <font>
      <sz val="10"/>
      <name val="Arial"/>
      <family val="2"/>
      <scheme val="minor"/>
    </font>
    <font>
      <b/>
      <sz val="11"/>
      <color rgb="FFFF0000"/>
      <name val="Calibri"/>
      <family val="2"/>
    </font>
    <font>
      <i/>
      <sz val="9"/>
      <color rgb="FF595959"/>
      <name val="Arial"/>
      <family val="2"/>
      <scheme val="minor"/>
    </font>
    <font>
      <b/>
      <sz val="9"/>
      <color rgb="FFFFFFFF"/>
      <name val="Arial"/>
      <family val="2"/>
      <scheme val="minor"/>
    </font>
    <font>
      <b/>
      <sz val="9"/>
      <color rgb="FF000000"/>
      <name val="Arial"/>
      <family val="2"/>
      <scheme val="minor"/>
    </font>
    <font>
      <b/>
      <sz val="14"/>
      <color rgb="FF1F3864"/>
      <name val="Times New Roman"/>
      <family val="1"/>
    </font>
    <font>
      <sz val="8"/>
      <color rgb="FF1F3864"/>
      <name val="Times New Roman"/>
      <family val="1"/>
    </font>
    <font>
      <b/>
      <i/>
      <sz val="6"/>
      <color rgb="FF404040"/>
      <name val="Times New Roman"/>
      <family val="1"/>
    </font>
    <font>
      <i/>
      <sz val="6"/>
      <color rgb="FF404040"/>
      <name val="Times New Roman"/>
      <family val="1"/>
    </font>
    <font>
      <b/>
      <sz val="9"/>
      <color rgb="FF1F3864"/>
      <name val="Arial"/>
      <scheme val="minor"/>
    </font>
    <font>
      <i/>
      <sz val="9"/>
      <color rgb="FF595959"/>
      <name val="Arial"/>
      <scheme val="minor"/>
    </font>
  </fonts>
  <fills count="43">
    <fill>
      <patternFill patternType="none"/>
    </fill>
    <fill>
      <patternFill patternType="gray125"/>
    </fill>
    <fill>
      <patternFill patternType="solid">
        <fgColor rgb="FFD9EAD3"/>
        <bgColor rgb="FFD9EAD3"/>
      </patternFill>
    </fill>
    <fill>
      <patternFill patternType="solid">
        <fgColor rgb="FF2E7D32"/>
        <bgColor rgb="FF1B5E20"/>
      </patternFill>
    </fill>
    <fill>
      <patternFill patternType="solid">
        <fgColor rgb="FFE8F5E9"/>
        <bgColor rgb="FFF1F8E9"/>
      </patternFill>
    </fill>
    <fill>
      <patternFill patternType="solid">
        <fgColor rgb="FFF1F8E9"/>
        <bgColor rgb="FFE8F5E9"/>
      </patternFill>
    </fill>
    <fill>
      <patternFill patternType="solid">
        <fgColor rgb="FF43A047"/>
        <bgColor rgb="FF2E7D32"/>
      </patternFill>
    </fill>
    <fill>
      <patternFill patternType="solid">
        <fgColor indexed="43"/>
        <bgColor indexed="64"/>
      </patternFill>
    </fill>
    <fill>
      <patternFill patternType="solid">
        <fgColor indexed="46"/>
        <bgColor indexed="64"/>
      </patternFill>
    </fill>
    <fill>
      <patternFill patternType="solid">
        <fgColor rgb="FFFFFF00"/>
        <bgColor indexed="64"/>
      </patternFill>
    </fill>
    <fill>
      <patternFill patternType="solid">
        <fgColor indexed="57"/>
        <bgColor indexed="64"/>
      </patternFill>
    </fill>
    <fill>
      <patternFill patternType="solid">
        <fgColor indexed="26"/>
        <bgColor indexed="64"/>
      </patternFill>
    </fill>
    <fill>
      <patternFill patternType="solid">
        <fgColor indexed="31"/>
        <bgColor indexed="64"/>
      </patternFill>
    </fill>
    <fill>
      <patternFill patternType="solid">
        <fgColor indexed="45"/>
        <bgColor indexed="64"/>
      </patternFill>
    </fill>
    <fill>
      <patternFill patternType="solid">
        <fgColor indexed="10"/>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rgb="FFDAE9F8"/>
        <bgColor rgb="FF000000"/>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D9D9D9"/>
        <bgColor indexed="64"/>
      </patternFill>
    </fill>
    <fill>
      <patternFill patternType="solid">
        <fgColor rgb="FF1F3864"/>
        <bgColor rgb="FF333333"/>
      </patternFill>
    </fill>
    <fill>
      <patternFill patternType="solid">
        <fgColor rgb="FFD9E1F2"/>
        <bgColor rgb="FFF2F2F2"/>
      </patternFill>
    </fill>
    <fill>
      <patternFill patternType="solid">
        <fgColor theme="7" tint="0.59999389629810485"/>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theme="2" tint="-4.9989318521683403E-2"/>
        <bgColor indexed="64"/>
      </patternFill>
    </fill>
    <fill>
      <patternFill patternType="solid">
        <fgColor theme="2" tint="-0.14999847407452621"/>
        <bgColor indexed="64"/>
      </patternFill>
    </fill>
    <fill>
      <patternFill patternType="solid">
        <fgColor theme="0" tint="-0.14999847407452621"/>
        <bgColor rgb="FF333333"/>
      </patternFill>
    </fill>
    <fill>
      <patternFill patternType="solid">
        <fgColor rgb="FFF2F2F2"/>
        <bgColor indexed="64"/>
      </patternFill>
    </fill>
    <fill>
      <patternFill patternType="solid">
        <fgColor rgb="FFFFFFFF"/>
        <bgColor indexed="64"/>
      </patternFill>
    </fill>
    <fill>
      <patternFill patternType="solid">
        <fgColor theme="0" tint="-4.9989318521683403E-2"/>
        <bgColor rgb="FF000000"/>
      </patternFill>
    </fill>
    <fill>
      <patternFill patternType="solid">
        <fgColor theme="7" tint="0.79998168889431442"/>
        <bgColor rgb="FF000000"/>
      </patternFill>
    </fill>
    <fill>
      <patternFill patternType="solid">
        <fgColor theme="3" tint="0.499984740745262"/>
        <bgColor indexed="64"/>
      </patternFill>
    </fill>
    <fill>
      <patternFill patternType="solid">
        <fgColor rgb="FFA5A5A5"/>
      </patternFill>
    </fill>
    <fill>
      <patternFill patternType="solid">
        <fgColor theme="4" tint="0.79998168889431442"/>
        <bgColor rgb="FFF2F2F2"/>
      </patternFill>
    </fill>
    <fill>
      <patternFill patternType="solid">
        <fgColor theme="5" tint="0.59999389629810485"/>
        <bgColor indexed="64"/>
      </patternFill>
    </fill>
    <fill>
      <patternFill patternType="solid">
        <fgColor rgb="FF1F3864"/>
        <bgColor indexed="64"/>
      </patternFill>
    </fill>
  </fills>
  <borders count="12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C8E6C9"/>
      </left>
      <right style="thin">
        <color rgb="FFC8E6C9"/>
      </right>
      <top style="thin">
        <color rgb="FFC8E6C9"/>
      </top>
      <bottom style="thin">
        <color rgb="FFC8E6C9"/>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hair">
        <color indexed="64"/>
      </left>
      <right style="hair">
        <color indexed="64"/>
      </right>
      <top style="medium">
        <color indexed="64"/>
      </top>
      <bottom/>
      <diagonal/>
    </border>
    <border>
      <left style="medium">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thin">
        <color rgb="FF000000"/>
      </left>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rgb="FFBFBFBF"/>
      </left>
      <right style="medium">
        <color rgb="FFBFBFBF"/>
      </right>
      <top style="medium">
        <color rgb="FFBFBFBF"/>
      </top>
      <bottom style="medium">
        <color rgb="FFBFBFBF"/>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right style="medium">
        <color rgb="FFBFBFBF"/>
      </right>
      <top style="medium">
        <color rgb="FFBFBFBF"/>
      </top>
      <bottom style="medium">
        <color rgb="FFBFBFBF"/>
      </bottom>
      <diagonal/>
    </border>
    <border>
      <left/>
      <right style="medium">
        <color rgb="FFBFBFBF"/>
      </right>
      <top style="medium">
        <color rgb="FFBFBFBF"/>
      </top>
      <bottom/>
      <diagonal/>
    </border>
    <border>
      <left/>
      <right style="medium">
        <color rgb="FFBFBFBF"/>
      </right>
      <top/>
      <bottom style="medium">
        <color rgb="FFBFBFBF"/>
      </bottom>
      <diagonal/>
    </border>
    <border>
      <left style="medium">
        <color rgb="FFBFBFBF"/>
      </left>
      <right style="medium">
        <color rgb="FFBFBFBF"/>
      </right>
      <top/>
      <bottom/>
      <diagonal/>
    </border>
    <border>
      <left/>
      <right style="medium">
        <color rgb="FFBFBFBF"/>
      </right>
      <top/>
      <bottom/>
      <diagonal/>
    </border>
    <border>
      <left/>
      <right/>
      <top/>
      <bottom style="medium">
        <color rgb="FFBFBFBF"/>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auto="1"/>
      </top>
      <bottom style="medium">
        <color indexed="64"/>
      </bottom>
      <diagonal/>
    </border>
    <border>
      <left/>
      <right style="thin">
        <color indexed="64"/>
      </right>
      <top style="thin">
        <color auto="1"/>
      </top>
      <bottom style="medium">
        <color indexed="64"/>
      </bottom>
      <diagonal/>
    </border>
    <border>
      <left style="thin">
        <color indexed="64"/>
      </left>
      <right/>
      <top style="thin">
        <color indexed="64"/>
      </top>
      <bottom style="medium">
        <color indexed="64"/>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right style="medium">
        <color rgb="FFCCCCCC"/>
      </right>
      <top/>
      <bottom style="medium">
        <color rgb="FFCCCCCC"/>
      </bottom>
      <diagonal/>
    </border>
    <border>
      <left/>
      <right style="medium">
        <color indexed="64"/>
      </right>
      <top style="medium">
        <color rgb="FFCCCCCC"/>
      </top>
      <bottom style="medium">
        <color rgb="FFCCCCCC"/>
      </bottom>
      <diagonal/>
    </border>
    <border>
      <left/>
      <right style="medium">
        <color indexed="64"/>
      </right>
      <top/>
      <bottom style="medium">
        <color rgb="FFCCCCCC"/>
      </bottom>
      <diagonal/>
    </border>
    <border>
      <left style="medium">
        <color rgb="FFCCCCCC"/>
      </left>
      <right style="medium">
        <color rgb="FFCCCCCC"/>
      </right>
      <top/>
      <bottom style="medium">
        <color indexed="64"/>
      </bottom>
      <diagonal/>
    </border>
    <border>
      <left/>
      <right style="medium">
        <color rgb="FFCCCCCC"/>
      </right>
      <top/>
      <bottom style="medium">
        <color indexed="64"/>
      </bottom>
      <diagonal/>
    </border>
  </borders>
  <cellStyleXfs count="16">
    <xf numFmtId="0" fontId="0" fillId="0" borderId="0"/>
    <xf numFmtId="9" fontId="11" fillId="0" borderId="0" applyFont="0" applyFill="0" applyBorder="0" applyAlignment="0" applyProtection="0"/>
    <xf numFmtId="0" fontId="2" fillId="0" borderId="0"/>
    <xf numFmtId="165" fontId="2" fillId="0" borderId="0" applyFont="0" applyFill="0" applyBorder="0" applyAlignment="0" applyProtection="0"/>
    <xf numFmtId="0" fontId="13" fillId="0" borderId="0"/>
    <xf numFmtId="9" fontId="2" fillId="0" borderId="0" applyFont="0" applyFill="0" applyBorder="0" applyAlignment="0" applyProtection="0"/>
    <xf numFmtId="0" fontId="22" fillId="0" borderId="0"/>
    <xf numFmtId="43" fontId="22"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9" fontId="1" fillId="0" borderId="0" applyFont="0" applyFill="0" applyBorder="0" applyAlignment="0" applyProtection="0"/>
    <xf numFmtId="0" fontId="40" fillId="0" borderId="0">
      <alignment vertical="center"/>
    </xf>
    <xf numFmtId="165" fontId="8" fillId="0" borderId="0" applyFont="0" applyFill="0" applyBorder="0" applyAlignment="0" applyProtection="0"/>
    <xf numFmtId="0" fontId="145" fillId="39" borderId="113" applyNumberFormat="0" applyAlignment="0" applyProtection="0"/>
  </cellStyleXfs>
  <cellXfs count="1319">
    <xf numFmtId="0" fontId="0" fillId="0" borderId="0" xfId="0"/>
    <xf numFmtId="0" fontId="3" fillId="0" borderId="0" xfId="0" applyFont="1" applyAlignment="1">
      <alignment vertical="top" wrapText="1"/>
    </xf>
    <xf numFmtId="0" fontId="4" fillId="0" borderId="0" xfId="0" applyFont="1" applyAlignment="1">
      <alignment vertical="top" wrapText="1"/>
    </xf>
    <xf numFmtId="0" fontId="5" fillId="0" borderId="1" xfId="0" applyFont="1" applyBorder="1" applyAlignment="1">
      <alignment vertical="top" wrapText="1"/>
    </xf>
    <xf numFmtId="0" fontId="6" fillId="0" borderId="0" xfId="0" applyFont="1" applyAlignment="1">
      <alignment vertical="top" wrapText="1"/>
    </xf>
    <xf numFmtId="0" fontId="7" fillId="0" borderId="0" xfId="0" applyFont="1"/>
    <xf numFmtId="0" fontId="7" fillId="0" borderId="2" xfId="0" applyFont="1" applyBorder="1"/>
    <xf numFmtId="0" fontId="3" fillId="0" borderId="3" xfId="0" applyFont="1" applyBorder="1"/>
    <xf numFmtId="0" fontId="3" fillId="0" borderId="4" xfId="0" applyFont="1" applyBorder="1"/>
    <xf numFmtId="0" fontId="3" fillId="0" borderId="5" xfId="0" applyFont="1" applyBorder="1"/>
    <xf numFmtId="0" fontId="3" fillId="0" borderId="0" xfId="0" applyFont="1"/>
    <xf numFmtId="0" fontId="3" fillId="0" borderId="6" xfId="0" applyFont="1" applyBorder="1"/>
    <xf numFmtId="0" fontId="3" fillId="0" borderId="7" xfId="0" applyFont="1" applyBorder="1"/>
    <xf numFmtId="0" fontId="7" fillId="0" borderId="1" xfId="0" applyFont="1" applyBorder="1"/>
    <xf numFmtId="0" fontId="9" fillId="0" borderId="5" xfId="0" applyFont="1" applyBorder="1"/>
    <xf numFmtId="0" fontId="3" fillId="0" borderId="8" xfId="0" applyFont="1" applyBorder="1"/>
    <xf numFmtId="0" fontId="3" fillId="0" borderId="9" xfId="0" applyFont="1" applyBorder="1"/>
    <xf numFmtId="0" fontId="7" fillId="0" borderId="5" xfId="0" applyFont="1" applyBorder="1"/>
    <xf numFmtId="0" fontId="3" fillId="0" borderId="1" xfId="0" applyFont="1" applyBorder="1"/>
    <xf numFmtId="0" fontId="7" fillId="0" borderId="7" xfId="0" applyFont="1" applyBorder="1"/>
    <xf numFmtId="0" fontId="10" fillId="0" borderId="0" xfId="0" applyFont="1"/>
    <xf numFmtId="0" fontId="13" fillId="0" borderId="0" xfId="4"/>
    <xf numFmtId="0" fontId="16" fillId="3" borderId="14" xfId="4" applyFont="1" applyFill="1" applyBorder="1" applyAlignment="1">
      <alignment horizontal="left" vertical="center" wrapText="1"/>
    </xf>
    <xf numFmtId="0" fontId="16" fillId="3" borderId="14" xfId="4" applyFont="1" applyFill="1" applyBorder="1" applyAlignment="1">
      <alignment horizontal="center" vertical="center" wrapText="1"/>
    </xf>
    <xf numFmtId="0" fontId="17" fillId="4" borderId="14" xfId="4" applyFont="1" applyFill="1" applyBorder="1" applyAlignment="1">
      <alignment horizontal="left" vertical="center"/>
    </xf>
    <xf numFmtId="166" fontId="17" fillId="4" borderId="14" xfId="4" applyNumberFormat="1" applyFont="1" applyFill="1" applyBorder="1" applyAlignment="1">
      <alignment horizontal="right" vertical="center"/>
    </xf>
    <xf numFmtId="166" fontId="18" fillId="4" borderId="14" xfId="4" applyNumberFormat="1" applyFont="1" applyFill="1" applyBorder="1" applyAlignment="1">
      <alignment horizontal="right" vertical="center"/>
    </xf>
    <xf numFmtId="4" fontId="17" fillId="4" borderId="14" xfId="4" applyNumberFormat="1" applyFont="1" applyFill="1" applyBorder="1" applyAlignment="1">
      <alignment horizontal="right" vertical="center"/>
    </xf>
    <xf numFmtId="0" fontId="17" fillId="5" borderId="14" xfId="4" applyFont="1" applyFill="1" applyBorder="1" applyAlignment="1">
      <alignment horizontal="left" vertical="center"/>
    </xf>
    <xf numFmtId="166" fontId="17" fillId="5" borderId="14" xfId="4" applyNumberFormat="1" applyFont="1" applyFill="1" applyBorder="1" applyAlignment="1">
      <alignment horizontal="right" vertical="center"/>
    </xf>
    <xf numFmtId="166" fontId="18" fillId="5" borderId="14" xfId="4" applyNumberFormat="1" applyFont="1" applyFill="1" applyBorder="1" applyAlignment="1">
      <alignment horizontal="right" vertical="center"/>
    </xf>
    <xf numFmtId="4" fontId="17" fillId="5" borderId="14" xfId="4" applyNumberFormat="1" applyFont="1" applyFill="1" applyBorder="1" applyAlignment="1">
      <alignment horizontal="right" vertical="center"/>
    </xf>
    <xf numFmtId="0" fontId="16" fillId="6" borderId="14" xfId="4" applyFont="1" applyFill="1" applyBorder="1" applyAlignment="1">
      <alignment horizontal="left" vertical="center"/>
    </xf>
    <xf numFmtId="166" fontId="16" fillId="6" borderId="14" xfId="4" applyNumberFormat="1" applyFont="1" applyFill="1" applyBorder="1" applyAlignment="1">
      <alignment horizontal="right" vertical="center"/>
    </xf>
    <xf numFmtId="4" fontId="16" fillId="6" borderId="14" xfId="4" applyNumberFormat="1" applyFont="1" applyFill="1" applyBorder="1" applyAlignment="1">
      <alignment horizontal="right" vertical="center"/>
    </xf>
    <xf numFmtId="0" fontId="21" fillId="0" borderId="0" xfId="2" applyFont="1"/>
    <xf numFmtId="170" fontId="17" fillId="4" borderId="14" xfId="4" applyNumberFormat="1" applyFont="1" applyFill="1" applyBorder="1" applyAlignment="1">
      <alignment horizontal="right" vertical="center"/>
    </xf>
    <xf numFmtId="170" fontId="17" fillId="5" borderId="14" xfId="4" applyNumberFormat="1" applyFont="1" applyFill="1" applyBorder="1" applyAlignment="1">
      <alignment horizontal="right" vertical="center"/>
    </xf>
    <xf numFmtId="170" fontId="16" fillId="6" borderId="14" xfId="4" applyNumberFormat="1" applyFont="1" applyFill="1" applyBorder="1" applyAlignment="1">
      <alignment horizontal="right" vertical="center"/>
    </xf>
    <xf numFmtId="0" fontId="22" fillId="0" borderId="0" xfId="6"/>
    <xf numFmtId="49" fontId="22" fillId="0" borderId="0" xfId="6" applyNumberFormat="1"/>
    <xf numFmtId="0" fontId="22" fillId="0" borderId="0" xfId="6" applyAlignment="1">
      <alignment wrapText="1"/>
    </xf>
    <xf numFmtId="0" fontId="4" fillId="15" borderId="16" xfId="6" applyFont="1" applyFill="1" applyBorder="1"/>
    <xf numFmtId="0" fontId="4" fillId="15" borderId="17" xfId="6" applyFont="1" applyFill="1" applyBorder="1"/>
    <xf numFmtId="49" fontId="4" fillId="15" borderId="17" xfId="6" applyNumberFormat="1" applyFont="1" applyFill="1" applyBorder="1"/>
    <xf numFmtId="0" fontId="4" fillId="15" borderId="17" xfId="6" applyFont="1" applyFill="1" applyBorder="1" applyAlignment="1">
      <alignment wrapText="1"/>
    </xf>
    <xf numFmtId="0" fontId="4" fillId="15" borderId="18" xfId="6" applyFont="1" applyFill="1" applyBorder="1"/>
    <xf numFmtId="0" fontId="4" fillId="15" borderId="19" xfId="6" applyFont="1" applyFill="1" applyBorder="1"/>
    <xf numFmtId="0" fontId="4" fillId="15" borderId="13" xfId="6" applyFont="1" applyFill="1" applyBorder="1"/>
    <xf numFmtId="49" fontId="4" fillId="15" borderId="13" xfId="6" applyNumberFormat="1" applyFont="1" applyFill="1" applyBorder="1"/>
    <xf numFmtId="0" fontId="4" fillId="15" borderId="13" xfId="6" applyFont="1" applyFill="1" applyBorder="1" applyAlignment="1">
      <alignment wrapText="1"/>
    </xf>
    <xf numFmtId="0" fontId="4" fillId="15" borderId="20" xfId="6" applyFont="1" applyFill="1" applyBorder="1"/>
    <xf numFmtId="0" fontId="22" fillId="0" borderId="19" xfId="6" applyBorder="1"/>
    <xf numFmtId="0" fontId="22" fillId="0" borderId="13" xfId="6" applyBorder="1" applyAlignment="1">
      <alignment wrapText="1"/>
    </xf>
    <xf numFmtId="3" fontId="22" fillId="0" borderId="13" xfId="6" applyNumberFormat="1" applyBorder="1"/>
    <xf numFmtId="0" fontId="22" fillId="0" borderId="13" xfId="6" applyBorder="1"/>
    <xf numFmtId="49" fontId="22" fillId="0" borderId="13" xfId="6" applyNumberFormat="1" applyBorder="1"/>
    <xf numFmtId="0" fontId="22" fillId="0" borderId="20" xfId="6" applyBorder="1"/>
    <xf numFmtId="3" fontId="22" fillId="0" borderId="0" xfId="6" applyNumberFormat="1"/>
    <xf numFmtId="3" fontId="22" fillId="0" borderId="21" xfId="6" applyNumberFormat="1" applyBorder="1"/>
    <xf numFmtId="0" fontId="22" fillId="0" borderId="22" xfId="6" applyBorder="1"/>
    <xf numFmtId="0" fontId="4" fillId="16" borderId="13" xfId="6" applyFont="1" applyFill="1" applyBorder="1" applyAlignment="1">
      <alignment wrapText="1"/>
    </xf>
    <xf numFmtId="3" fontId="4" fillId="16" borderId="23" xfId="6" applyNumberFormat="1" applyFont="1" applyFill="1" applyBorder="1"/>
    <xf numFmtId="3" fontId="4" fillId="15" borderId="13" xfId="6" applyNumberFormat="1" applyFont="1" applyFill="1" applyBorder="1"/>
    <xf numFmtId="0" fontId="22" fillId="0" borderId="24" xfId="6" applyBorder="1"/>
    <xf numFmtId="0" fontId="22" fillId="0" borderId="21" xfId="6" applyBorder="1" applyAlignment="1">
      <alignment wrapText="1"/>
    </xf>
    <xf numFmtId="0" fontId="22" fillId="0" borderId="21" xfId="6" applyBorder="1"/>
    <xf numFmtId="49" fontId="22" fillId="0" borderId="21" xfId="6" applyNumberFormat="1" applyBorder="1"/>
    <xf numFmtId="0" fontId="22" fillId="0" borderId="25" xfId="6" applyBorder="1"/>
    <xf numFmtId="0" fontId="4" fillId="15" borderId="0" xfId="6" applyFont="1" applyFill="1"/>
    <xf numFmtId="4" fontId="22" fillId="0" borderId="21" xfId="6" applyNumberFormat="1" applyBorder="1"/>
    <xf numFmtId="3" fontId="22" fillId="0" borderId="25" xfId="6" applyNumberFormat="1" applyBorder="1"/>
    <xf numFmtId="0" fontId="22" fillId="0" borderId="28" xfId="6" applyBorder="1" applyAlignment="1">
      <alignment wrapText="1"/>
    </xf>
    <xf numFmtId="0" fontId="23" fillId="17" borderId="19" xfId="6" applyFont="1" applyFill="1" applyBorder="1"/>
    <xf numFmtId="0" fontId="23" fillId="17" borderId="29" xfId="6" applyFont="1" applyFill="1" applyBorder="1" applyAlignment="1">
      <alignment wrapText="1"/>
    </xf>
    <xf numFmtId="0" fontId="23" fillId="15" borderId="30" xfId="6" applyFont="1" applyFill="1" applyBorder="1"/>
    <xf numFmtId="0" fontId="22" fillId="15" borderId="28" xfId="6" applyFill="1" applyBorder="1" applyAlignment="1">
      <alignment wrapText="1"/>
    </xf>
    <xf numFmtId="43" fontId="24" fillId="0" borderId="33" xfId="7" applyFont="1" applyFill="1" applyBorder="1" applyAlignment="1">
      <alignment horizontal="right"/>
    </xf>
    <xf numFmtId="171" fontId="22" fillId="0" borderId="33" xfId="6" applyNumberFormat="1" applyBorder="1"/>
    <xf numFmtId="172" fontId="22" fillId="0" borderId="33" xfId="6" applyNumberFormat="1" applyBorder="1"/>
    <xf numFmtId="171" fontId="22" fillId="0" borderId="35" xfId="6" applyNumberFormat="1" applyBorder="1"/>
    <xf numFmtId="3" fontId="22" fillId="0" borderId="13" xfId="6" applyNumberFormat="1" applyBorder="1" applyAlignment="1">
      <alignment horizontal="right"/>
    </xf>
    <xf numFmtId="0" fontId="22" fillId="0" borderId="13" xfId="6" applyBorder="1" applyAlignment="1">
      <alignment horizontal="right"/>
    </xf>
    <xf numFmtId="173" fontId="22" fillId="0" borderId="0" xfId="6" applyNumberFormat="1"/>
    <xf numFmtId="173" fontId="0" fillId="0" borderId="0" xfId="7" applyNumberFormat="1" applyFont="1" applyFill="1"/>
    <xf numFmtId="0" fontId="24" fillId="0" borderId="15" xfId="6" applyFont="1" applyBorder="1" applyAlignment="1">
      <alignment horizontal="center" wrapText="1"/>
    </xf>
    <xf numFmtId="43" fontId="3" fillId="0" borderId="0" xfId="0" applyNumberFormat="1" applyFont="1"/>
    <xf numFmtId="0" fontId="3" fillId="0" borderId="3" xfId="0" applyFont="1" applyBorder="1" applyAlignment="1">
      <alignment horizontal="right"/>
    </xf>
    <xf numFmtId="0" fontId="8" fillId="0" borderId="6" xfId="0" applyFont="1" applyBorder="1"/>
    <xf numFmtId="0" fontId="24" fillId="0" borderId="37" xfId="6" applyFont="1" applyBorder="1" applyAlignment="1">
      <alignment horizontal="right"/>
    </xf>
    <xf numFmtId="171" fontId="22" fillId="0" borderId="38" xfId="6" applyNumberFormat="1" applyBorder="1"/>
    <xf numFmtId="0" fontId="22" fillId="0" borderId="39" xfId="6" applyBorder="1" applyAlignment="1">
      <alignment horizontal="center" wrapText="1"/>
    </xf>
    <xf numFmtId="43" fontId="22" fillId="0" borderId="0" xfId="6" applyNumberFormat="1"/>
    <xf numFmtId="43" fontId="22" fillId="0" borderId="0" xfId="6" applyNumberFormat="1" applyAlignment="1">
      <alignment horizontal="right"/>
    </xf>
    <xf numFmtId="0" fontId="25" fillId="0" borderId="0" xfId="0" applyFont="1"/>
    <xf numFmtId="2" fontId="25" fillId="0" borderId="0" xfId="0" applyNumberFormat="1" applyFont="1"/>
    <xf numFmtId="2" fontId="3" fillId="0" borderId="0" xfId="0" applyNumberFormat="1" applyFont="1"/>
    <xf numFmtId="0" fontId="25" fillId="0" borderId="1" xfId="0" applyFont="1" applyBorder="1"/>
    <xf numFmtId="0" fontId="3" fillId="0" borderId="0" xfId="0" applyFont="1" applyAlignment="1">
      <alignment wrapText="1"/>
    </xf>
    <xf numFmtId="43" fontId="3" fillId="0" borderId="10" xfId="8" applyFont="1" applyBorder="1"/>
    <xf numFmtId="43" fontId="0" fillId="0" borderId="0" xfId="8" applyFont="1"/>
    <xf numFmtId="43" fontId="3" fillId="0" borderId="11" xfId="8" applyFont="1" applyBorder="1"/>
    <xf numFmtId="43" fontId="7" fillId="0" borderId="1" xfId="8" applyFont="1" applyBorder="1"/>
    <xf numFmtId="43" fontId="7" fillId="2" borderId="1" xfId="8" applyFont="1" applyFill="1" applyBorder="1"/>
    <xf numFmtId="43" fontId="3" fillId="0" borderId="12" xfId="8" applyFont="1" applyBorder="1"/>
    <xf numFmtId="43" fontId="3" fillId="0" borderId="1" xfId="8" applyFont="1" applyBorder="1"/>
    <xf numFmtId="43" fontId="3" fillId="2" borderId="1" xfId="8" applyFont="1" applyFill="1" applyBorder="1"/>
    <xf numFmtId="43" fontId="3" fillId="0" borderId="0" xfId="8" applyFont="1"/>
    <xf numFmtId="0" fontId="30" fillId="0" borderId="0" xfId="2" applyFont="1" applyAlignment="1">
      <alignment horizontal="center" wrapText="1"/>
    </xf>
    <xf numFmtId="0" fontId="31" fillId="0" borderId="0" xfId="2" applyFont="1"/>
    <xf numFmtId="0" fontId="30" fillId="0" borderId="15" xfId="2" applyFont="1" applyBorder="1" applyAlignment="1">
      <alignment horizontal="center" wrapText="1"/>
    </xf>
    <xf numFmtId="165" fontId="30" fillId="7" borderId="13" xfId="3" applyFont="1" applyFill="1" applyBorder="1" applyAlignment="1">
      <alignment horizontal="center"/>
    </xf>
    <xf numFmtId="165" fontId="30" fillId="0" borderId="13" xfId="3" applyFont="1" applyFill="1" applyBorder="1" applyAlignment="1">
      <alignment horizontal="center"/>
    </xf>
    <xf numFmtId="0" fontId="30" fillId="9" borderId="13" xfId="2" applyFont="1" applyFill="1" applyBorder="1" applyAlignment="1">
      <alignment horizontal="center"/>
    </xf>
    <xf numFmtId="165" fontId="30" fillId="10" borderId="13" xfId="3" applyFont="1" applyFill="1" applyBorder="1" applyAlignment="1">
      <alignment horizontal="center" wrapText="1"/>
    </xf>
    <xf numFmtId="165" fontId="30" fillId="11" borderId="13" xfId="3" applyFont="1" applyFill="1" applyBorder="1" applyAlignment="1">
      <alignment horizontal="center" vertical="center" wrapText="1"/>
    </xf>
    <xf numFmtId="165" fontId="30" fillId="12" borderId="13" xfId="3" applyFont="1" applyFill="1" applyBorder="1" applyAlignment="1">
      <alignment horizontal="center" wrapText="1"/>
    </xf>
    <xf numFmtId="165" fontId="30" fillId="13" borderId="13" xfId="3" applyFont="1" applyFill="1" applyBorder="1" applyAlignment="1">
      <alignment horizontal="center" wrapText="1"/>
    </xf>
    <xf numFmtId="165" fontId="30" fillId="14" borderId="13" xfId="2" applyNumberFormat="1" applyFont="1" applyFill="1" applyBorder="1" applyAlignment="1">
      <alignment wrapText="1"/>
    </xf>
    <xf numFmtId="0" fontId="32" fillId="7" borderId="13" xfId="2" applyFont="1" applyFill="1" applyBorder="1" applyAlignment="1">
      <alignment horizontal="center"/>
    </xf>
    <xf numFmtId="165" fontId="30" fillId="0" borderId="13" xfId="3" quotePrefix="1" applyFont="1" applyFill="1" applyBorder="1" applyAlignment="1">
      <alignment horizontal="center" vertical="center" wrapText="1"/>
    </xf>
    <xf numFmtId="165" fontId="30" fillId="9" borderId="13" xfId="3" quotePrefix="1" applyFont="1" applyFill="1" applyBorder="1" applyAlignment="1">
      <alignment horizontal="center" vertical="center" wrapText="1"/>
    </xf>
    <xf numFmtId="165" fontId="30" fillId="9" borderId="13" xfId="2" applyNumberFormat="1" applyFont="1" applyFill="1" applyBorder="1" applyAlignment="1">
      <alignment horizontal="center" wrapText="1"/>
    </xf>
    <xf numFmtId="0" fontId="31" fillId="0" borderId="13" xfId="2" applyFont="1" applyBorder="1"/>
    <xf numFmtId="0" fontId="33" fillId="0" borderId="13" xfId="2" applyFont="1" applyBorder="1"/>
    <xf numFmtId="167" fontId="32" fillId="0" borderId="13" xfId="3" applyNumberFormat="1" applyFont="1" applyFill="1" applyBorder="1" applyAlignment="1">
      <alignment horizontal="center" wrapText="1" shrinkToFit="1"/>
    </xf>
    <xf numFmtId="168" fontId="31" fillId="0" borderId="13" xfId="2" applyNumberFormat="1" applyFont="1" applyBorder="1" applyAlignment="1">
      <alignment horizontal="center"/>
    </xf>
    <xf numFmtId="167" fontId="30" fillId="9" borderId="13" xfId="2" applyNumberFormat="1" applyFont="1" applyFill="1" applyBorder="1"/>
    <xf numFmtId="9" fontId="32" fillId="9" borderId="13" xfId="5" applyFont="1" applyFill="1" applyBorder="1"/>
    <xf numFmtId="167" fontId="30" fillId="0" borderId="13" xfId="3" applyNumberFormat="1" applyFont="1" applyFill="1" applyBorder="1" applyAlignment="1">
      <alignment horizontal="center" wrapText="1" shrinkToFit="1"/>
    </xf>
    <xf numFmtId="168" fontId="33" fillId="0" borderId="13" xfId="2" applyNumberFormat="1" applyFont="1" applyBorder="1" applyAlignment="1">
      <alignment horizontal="center"/>
    </xf>
    <xf numFmtId="169" fontId="33" fillId="0" borderId="13" xfId="2" applyNumberFormat="1" applyFont="1" applyBorder="1" applyAlignment="1">
      <alignment horizontal="center"/>
    </xf>
    <xf numFmtId="0" fontId="33" fillId="0" borderId="13" xfId="2" applyFont="1" applyBorder="1" applyAlignment="1">
      <alignment wrapText="1"/>
    </xf>
    <xf numFmtId="0" fontId="33" fillId="9" borderId="13" xfId="2" applyFont="1" applyFill="1" applyBorder="1"/>
    <xf numFmtId="167" fontId="21" fillId="0" borderId="0" xfId="2" applyNumberFormat="1" applyFont="1"/>
    <xf numFmtId="167" fontId="31" fillId="0" borderId="0" xfId="2" applyNumberFormat="1" applyFont="1"/>
    <xf numFmtId="43" fontId="21" fillId="0" borderId="0" xfId="2" applyNumberFormat="1" applyFont="1"/>
    <xf numFmtId="0" fontId="34" fillId="0" borderId="0" xfId="2" applyFont="1" applyAlignment="1">
      <alignment horizontal="center" wrapText="1"/>
    </xf>
    <xf numFmtId="0" fontId="34" fillId="0" borderId="13" xfId="2" applyFont="1" applyBorder="1" applyAlignment="1">
      <alignment horizontal="center" wrapText="1"/>
    </xf>
    <xf numFmtId="0" fontId="34" fillId="0" borderId="15" xfId="2" applyFont="1" applyBorder="1" applyAlignment="1">
      <alignment horizontal="center" wrapText="1"/>
    </xf>
    <xf numFmtId="165" fontId="34" fillId="7" borderId="13" xfId="3" applyFont="1" applyFill="1" applyBorder="1" applyAlignment="1">
      <alignment horizontal="center"/>
    </xf>
    <xf numFmtId="165" fontId="34" fillId="0" borderId="13" xfId="3" applyFont="1" applyFill="1" applyBorder="1" applyAlignment="1">
      <alignment horizontal="center"/>
    </xf>
    <xf numFmtId="0" fontId="34" fillId="9" borderId="13" xfId="2" applyFont="1" applyFill="1" applyBorder="1" applyAlignment="1">
      <alignment horizontal="center"/>
    </xf>
    <xf numFmtId="165" fontId="34" fillId="10" borderId="13" xfId="3" applyFont="1" applyFill="1" applyBorder="1" applyAlignment="1">
      <alignment horizontal="center" wrapText="1"/>
    </xf>
    <xf numFmtId="165" fontId="34" fillId="11" borderId="13" xfId="3" applyFont="1" applyFill="1" applyBorder="1" applyAlignment="1">
      <alignment horizontal="center" vertical="center" wrapText="1"/>
    </xf>
    <xf numFmtId="165" fontId="34" fillId="12" borderId="13" xfId="3" applyFont="1" applyFill="1" applyBorder="1" applyAlignment="1">
      <alignment horizontal="center" wrapText="1"/>
    </xf>
    <xf numFmtId="165" fontId="34" fillId="13" borderId="13" xfId="3" applyFont="1" applyFill="1" applyBorder="1" applyAlignment="1">
      <alignment horizontal="center" wrapText="1"/>
    </xf>
    <xf numFmtId="165" fontId="34" fillId="14" borderId="13" xfId="2" applyNumberFormat="1" applyFont="1" applyFill="1" applyBorder="1" applyAlignment="1">
      <alignment wrapText="1"/>
    </xf>
    <xf numFmtId="0" fontId="35" fillId="7" borderId="13" xfId="2" applyFont="1" applyFill="1" applyBorder="1" applyAlignment="1">
      <alignment horizontal="center"/>
    </xf>
    <xf numFmtId="165" fontId="34" fillId="0" borderId="13" xfId="3" quotePrefix="1" applyFont="1" applyFill="1" applyBorder="1" applyAlignment="1">
      <alignment horizontal="center" vertical="center" wrapText="1"/>
    </xf>
    <xf numFmtId="165" fontId="34" fillId="9" borderId="13" xfId="3" quotePrefix="1" applyFont="1" applyFill="1" applyBorder="1" applyAlignment="1">
      <alignment horizontal="center" vertical="center" wrapText="1"/>
    </xf>
    <xf numFmtId="165" fontId="34" fillId="9" borderId="13" xfId="2" applyNumberFormat="1" applyFont="1" applyFill="1" applyBorder="1" applyAlignment="1">
      <alignment horizontal="center" wrapText="1"/>
    </xf>
    <xf numFmtId="0" fontId="21" fillId="0" borderId="13" xfId="2" applyFont="1" applyBorder="1"/>
    <xf numFmtId="0" fontId="36" fillId="0" borderId="13" xfId="2" applyFont="1" applyBorder="1"/>
    <xf numFmtId="167" fontId="35" fillId="0" borderId="13" xfId="3" applyNumberFormat="1" applyFont="1" applyFill="1" applyBorder="1" applyAlignment="1">
      <alignment horizontal="center" wrapText="1" shrinkToFit="1"/>
    </xf>
    <xf numFmtId="168" fontId="21" fillId="0" borderId="13" xfId="2" applyNumberFormat="1" applyFont="1" applyBorder="1" applyAlignment="1">
      <alignment horizontal="center"/>
    </xf>
    <xf numFmtId="167" fontId="34" fillId="9" borderId="13" xfId="2" applyNumberFormat="1" applyFont="1" applyFill="1" applyBorder="1"/>
    <xf numFmtId="9" fontId="35" fillId="9" borderId="13" xfId="5" applyFont="1" applyFill="1" applyBorder="1"/>
    <xf numFmtId="167" fontId="34" fillId="0" borderId="13" xfId="3" applyNumberFormat="1" applyFont="1" applyFill="1" applyBorder="1" applyAlignment="1">
      <alignment horizontal="center" wrapText="1" shrinkToFit="1"/>
    </xf>
    <xf numFmtId="168" fontId="36" fillId="0" borderId="13" xfId="2" applyNumberFormat="1" applyFont="1" applyBorder="1" applyAlignment="1">
      <alignment horizontal="center"/>
    </xf>
    <xf numFmtId="169" fontId="36" fillId="0" borderId="13" xfId="2" applyNumberFormat="1" applyFont="1" applyBorder="1" applyAlignment="1">
      <alignment horizontal="center"/>
    </xf>
    <xf numFmtId="0" fontId="36" fillId="0" borderId="13" xfId="2" applyFont="1" applyBorder="1" applyAlignment="1">
      <alignment wrapText="1"/>
    </xf>
    <xf numFmtId="169" fontId="21" fillId="0" borderId="13" xfId="2" applyNumberFormat="1" applyFont="1" applyBorder="1" applyAlignment="1">
      <alignment horizontal="center"/>
    </xf>
    <xf numFmtId="0" fontId="36" fillId="9" borderId="13" xfId="2" applyFont="1" applyFill="1" applyBorder="1"/>
    <xf numFmtId="167" fontId="36" fillId="0" borderId="0" xfId="2" applyNumberFormat="1" applyFont="1"/>
    <xf numFmtId="43" fontId="35" fillId="0" borderId="13" xfId="8" applyFont="1" applyFill="1" applyBorder="1" applyAlignment="1">
      <alignment horizontal="center" wrapText="1" shrinkToFit="1"/>
    </xf>
    <xf numFmtId="43" fontId="21" fillId="0" borderId="13" xfId="8" applyFont="1" applyBorder="1" applyAlignment="1">
      <alignment horizontal="center"/>
    </xf>
    <xf numFmtId="43" fontId="34" fillId="9" borderId="13" xfId="8" applyFont="1" applyFill="1" applyBorder="1"/>
    <xf numFmtId="43" fontId="34" fillId="0" borderId="13" xfId="8" applyFont="1" applyFill="1" applyBorder="1" applyAlignment="1">
      <alignment horizontal="center" wrapText="1" shrinkToFit="1"/>
    </xf>
    <xf numFmtId="43" fontId="36" fillId="0" borderId="13" xfId="8" applyFont="1" applyBorder="1" applyAlignment="1">
      <alignment horizontal="center"/>
    </xf>
    <xf numFmtId="43" fontId="21" fillId="0" borderId="0" xfId="8" applyFont="1"/>
    <xf numFmtId="173" fontId="21" fillId="0" borderId="0" xfId="8" applyNumberFormat="1" applyFont="1"/>
    <xf numFmtId="173" fontId="0" fillId="0" borderId="0" xfId="8" applyNumberFormat="1" applyFont="1" applyAlignment="1">
      <alignment horizontal="right"/>
    </xf>
    <xf numFmtId="173" fontId="0" fillId="0" borderId="0" xfId="8" applyNumberFormat="1" applyFont="1"/>
    <xf numFmtId="0" fontId="29" fillId="0" borderId="0" xfId="0" applyFont="1"/>
    <xf numFmtId="43" fontId="0" fillId="0" borderId="0" xfId="0" applyNumberFormat="1"/>
    <xf numFmtId="0" fontId="29" fillId="0" borderId="13" xfId="0" applyFont="1" applyBorder="1" applyAlignment="1">
      <alignment horizontal="right"/>
    </xf>
    <xf numFmtId="173" fontId="0" fillId="0" borderId="13" xfId="8" applyNumberFormat="1" applyFont="1" applyBorder="1" applyAlignment="1">
      <alignment horizontal="right"/>
    </xf>
    <xf numFmtId="0" fontId="0" fillId="0" borderId="13" xfId="0" applyBorder="1"/>
    <xf numFmtId="173" fontId="0" fillId="0" borderId="13" xfId="8" applyNumberFormat="1" applyFont="1" applyBorder="1"/>
    <xf numFmtId="173" fontId="0" fillId="0" borderId="40" xfId="8" applyNumberFormat="1" applyFont="1" applyBorder="1"/>
    <xf numFmtId="173" fontId="0" fillId="0" borderId="40" xfId="8" applyNumberFormat="1" applyFont="1" applyBorder="1" applyAlignment="1">
      <alignment horizontal="right"/>
    </xf>
    <xf numFmtId="173" fontId="29" fillId="18" borderId="41" xfId="8" applyNumberFormat="1" applyFont="1" applyFill="1" applyBorder="1" applyAlignment="1">
      <alignment horizontal="right"/>
    </xf>
    <xf numFmtId="173" fontId="29" fillId="18" borderId="42" xfId="8" applyNumberFormat="1" applyFont="1" applyFill="1" applyBorder="1" applyAlignment="1">
      <alignment horizontal="right"/>
    </xf>
    <xf numFmtId="173" fontId="29" fillId="18" borderId="43" xfId="8" applyNumberFormat="1" applyFont="1" applyFill="1" applyBorder="1" applyAlignment="1">
      <alignment horizontal="right"/>
    </xf>
    <xf numFmtId="173" fontId="29" fillId="0" borderId="0" xfId="8" applyNumberFormat="1" applyFont="1" applyAlignment="1">
      <alignment horizontal="right"/>
    </xf>
    <xf numFmtId="173" fontId="0" fillId="19" borderId="23" xfId="8" applyNumberFormat="1" applyFont="1" applyFill="1" applyBorder="1" applyAlignment="1">
      <alignment horizontal="right"/>
    </xf>
    <xf numFmtId="173" fontId="29" fillId="0" borderId="0" xfId="8" applyNumberFormat="1" applyFont="1"/>
    <xf numFmtId="0" fontId="3" fillId="0" borderId="5" xfId="0" applyFont="1" applyBorder="1" applyAlignment="1">
      <alignment horizontal="left"/>
    </xf>
    <xf numFmtId="173" fontId="29" fillId="0" borderId="0" xfId="8" applyNumberFormat="1" applyFont="1" applyFill="1" applyBorder="1" applyAlignment="1">
      <alignment horizontal="left"/>
    </xf>
    <xf numFmtId="173" fontId="3" fillId="0" borderId="10" xfId="8" applyNumberFormat="1" applyFont="1" applyBorder="1"/>
    <xf numFmtId="173" fontId="3" fillId="0" borderId="12" xfId="8" applyNumberFormat="1" applyFont="1" applyBorder="1"/>
    <xf numFmtId="173" fontId="3" fillId="0" borderId="1" xfId="8" applyNumberFormat="1" applyFont="1" applyBorder="1"/>
    <xf numFmtId="173" fontId="3" fillId="0" borderId="11" xfId="8" applyNumberFormat="1" applyFont="1" applyBorder="1"/>
    <xf numFmtId="173" fontId="3" fillId="2" borderId="1" xfId="8" applyNumberFormat="1" applyFont="1" applyFill="1" applyBorder="1"/>
    <xf numFmtId="0" fontId="3" fillId="0" borderId="13" xfId="0" applyFont="1" applyBorder="1"/>
    <xf numFmtId="173" fontId="29" fillId="18" borderId="13" xfId="8" applyNumberFormat="1" applyFont="1" applyFill="1" applyBorder="1" applyAlignment="1">
      <alignment horizontal="right"/>
    </xf>
    <xf numFmtId="0" fontId="3" fillId="18" borderId="13" xfId="0" applyFont="1" applyFill="1" applyBorder="1"/>
    <xf numFmtId="0" fontId="29" fillId="18" borderId="13" xfId="0" applyFont="1" applyFill="1" applyBorder="1" applyAlignment="1">
      <alignment horizontal="right"/>
    </xf>
    <xf numFmtId="173" fontId="0" fillId="18" borderId="13" xfId="8" applyNumberFormat="1" applyFont="1" applyFill="1" applyBorder="1" applyAlignment="1">
      <alignment horizontal="right"/>
    </xf>
    <xf numFmtId="0" fontId="0" fillId="0" borderId="0" xfId="0" applyAlignment="1">
      <alignment horizontal="center"/>
    </xf>
    <xf numFmtId="0" fontId="0" fillId="0" borderId="13" xfId="0" applyBorder="1" applyAlignment="1">
      <alignment horizontal="center"/>
    </xf>
    <xf numFmtId="0" fontId="29" fillId="0" borderId="13" xfId="0" applyFont="1" applyBorder="1"/>
    <xf numFmtId="0" fontId="29" fillId="20" borderId="13" xfId="0" applyFont="1" applyFill="1" applyBorder="1"/>
    <xf numFmtId="173" fontId="29" fillId="20" borderId="13" xfId="8" applyNumberFormat="1" applyFont="1" applyFill="1" applyBorder="1" applyAlignment="1">
      <alignment horizontal="right"/>
    </xf>
    <xf numFmtId="0" fontId="29" fillId="0" borderId="13" xfId="0" applyFont="1" applyBorder="1" applyAlignment="1">
      <alignment horizontal="center"/>
    </xf>
    <xf numFmtId="173" fontId="29" fillId="0" borderId="13" xfId="8" applyNumberFormat="1" applyFont="1" applyBorder="1"/>
    <xf numFmtId="9" fontId="0" fillId="0" borderId="13" xfId="0" applyNumberFormat="1" applyBorder="1"/>
    <xf numFmtId="0" fontId="29" fillId="20" borderId="13" xfId="0" applyFont="1" applyFill="1" applyBorder="1" applyAlignment="1">
      <alignment horizontal="center"/>
    </xf>
    <xf numFmtId="9" fontId="3" fillId="0" borderId="13" xfId="0" applyNumberFormat="1" applyFont="1" applyBorder="1"/>
    <xf numFmtId="15" fontId="29" fillId="18" borderId="13" xfId="0" quotePrefix="1" applyNumberFormat="1" applyFont="1" applyFill="1" applyBorder="1" applyAlignment="1">
      <alignment horizontal="right"/>
    </xf>
    <xf numFmtId="17" fontId="29" fillId="18" borderId="13" xfId="0" quotePrefix="1" applyNumberFormat="1" applyFont="1" applyFill="1" applyBorder="1" applyAlignment="1">
      <alignment horizontal="right"/>
    </xf>
    <xf numFmtId="0" fontId="29" fillId="18" borderId="13" xfId="0" quotePrefix="1" applyFont="1" applyFill="1" applyBorder="1" applyAlignment="1">
      <alignment horizontal="right"/>
    </xf>
    <xf numFmtId="0" fontId="29" fillId="19" borderId="13" xfId="0" applyFont="1" applyFill="1" applyBorder="1"/>
    <xf numFmtId="0" fontId="29" fillId="19" borderId="13" xfId="0" applyFont="1" applyFill="1" applyBorder="1" applyAlignment="1">
      <alignment horizontal="center"/>
    </xf>
    <xf numFmtId="173" fontId="29" fillId="19" borderId="13" xfId="8" applyNumberFormat="1" applyFont="1" applyFill="1" applyBorder="1" applyAlignment="1">
      <alignment horizontal="right"/>
    </xf>
    <xf numFmtId="173" fontId="0" fillId="21" borderId="13" xfId="8" applyNumberFormat="1" applyFont="1" applyFill="1" applyBorder="1"/>
    <xf numFmtId="173" fontId="29" fillId="19" borderId="13" xfId="8" applyNumberFormat="1" applyFont="1" applyFill="1" applyBorder="1"/>
    <xf numFmtId="0" fontId="3" fillId="0" borderId="0" xfId="0" applyFont="1" applyAlignment="1">
      <alignment horizontal="left"/>
    </xf>
    <xf numFmtId="0" fontId="8" fillId="0" borderId="0" xfId="0" applyFont="1"/>
    <xf numFmtId="0" fontId="26" fillId="0" borderId="0" xfId="0" applyFont="1"/>
    <xf numFmtId="173" fontId="0" fillId="0" borderId="37" xfId="8" applyNumberFormat="1" applyFont="1" applyBorder="1"/>
    <xf numFmtId="173" fontId="29" fillId="19" borderId="46" xfId="8" applyNumberFormat="1" applyFont="1" applyFill="1" applyBorder="1"/>
    <xf numFmtId="0" fontId="3" fillId="0" borderId="0" xfId="0" applyFont="1" applyAlignment="1">
      <alignment horizontal="center" vertical="top" wrapText="1"/>
    </xf>
    <xf numFmtId="0" fontId="3" fillId="0" borderId="1" xfId="0" applyFont="1" applyBorder="1" applyAlignment="1">
      <alignment horizontal="center" vertical="top" wrapText="1"/>
    </xf>
    <xf numFmtId="9" fontId="13" fillId="0" borderId="0" xfId="1" applyFont="1"/>
    <xf numFmtId="0" fontId="23" fillId="0" borderId="0" xfId="0" applyFont="1"/>
    <xf numFmtId="0" fontId="7" fillId="18" borderId="13" xfId="0" applyFont="1" applyFill="1" applyBorder="1"/>
    <xf numFmtId="0" fontId="7" fillId="18" borderId="13" xfId="0" applyFont="1" applyFill="1" applyBorder="1" applyAlignment="1">
      <alignment horizontal="center"/>
    </xf>
    <xf numFmtId="0" fontId="3" fillId="18" borderId="13" xfId="0" applyFont="1" applyFill="1" applyBorder="1" applyAlignment="1">
      <alignment horizontal="center"/>
    </xf>
    <xf numFmtId="0" fontId="3" fillId="18" borderId="13" xfId="0" applyFont="1" applyFill="1" applyBorder="1" applyAlignment="1">
      <alignment horizontal="right"/>
    </xf>
    <xf numFmtId="0" fontId="11" fillId="0" borderId="0" xfId="0" applyFont="1"/>
    <xf numFmtId="0" fontId="7" fillId="20" borderId="13" xfId="0" applyFont="1" applyFill="1" applyBorder="1"/>
    <xf numFmtId="173" fontId="11" fillId="18" borderId="13" xfId="8" applyNumberFormat="1" applyFont="1" applyFill="1" applyBorder="1" applyAlignment="1">
      <alignment horizontal="right"/>
    </xf>
    <xf numFmtId="0" fontId="7" fillId="19" borderId="13" xfId="0" applyFont="1" applyFill="1" applyBorder="1"/>
    <xf numFmtId="9" fontId="7" fillId="19" borderId="13" xfId="0" applyNumberFormat="1" applyFont="1" applyFill="1" applyBorder="1"/>
    <xf numFmtId="0" fontId="11" fillId="0" borderId="13" xfId="0" applyFont="1" applyBorder="1"/>
    <xf numFmtId="43" fontId="11" fillId="0" borderId="0" xfId="8" applyFont="1" applyBorder="1"/>
    <xf numFmtId="173" fontId="11" fillId="0" borderId="0" xfId="8" applyNumberFormat="1" applyFont="1" applyBorder="1"/>
    <xf numFmtId="173" fontId="11" fillId="0" borderId="0" xfId="8" applyNumberFormat="1" applyFont="1" applyFill="1" applyBorder="1"/>
    <xf numFmtId="0" fontId="11" fillId="0" borderId="0" xfId="0" applyFont="1" applyAlignment="1">
      <alignment horizontal="right"/>
    </xf>
    <xf numFmtId="0" fontId="11" fillId="0" borderId="13" xfId="0" applyFont="1" applyBorder="1" applyAlignment="1">
      <alignment horizontal="right"/>
    </xf>
    <xf numFmtId="173" fontId="11" fillId="0" borderId="0" xfId="8" applyNumberFormat="1" applyFont="1" applyAlignment="1">
      <alignment horizontal="right"/>
    </xf>
    <xf numFmtId="173" fontId="11" fillId="0" borderId="0" xfId="8" applyNumberFormat="1" applyFont="1"/>
    <xf numFmtId="0" fontId="12" fillId="0" borderId="0" xfId="10" applyFont="1"/>
    <xf numFmtId="0" fontId="12" fillId="0" borderId="0" xfId="10" applyFont="1" applyAlignment="1">
      <alignment horizontal="center"/>
    </xf>
    <xf numFmtId="0" fontId="42" fillId="23" borderId="0" xfId="13" applyFont="1" applyFill="1">
      <alignment vertical="center"/>
    </xf>
    <xf numFmtId="0" fontId="41" fillId="23" borderId="0" xfId="13" applyFont="1" applyFill="1">
      <alignment vertical="center"/>
    </xf>
    <xf numFmtId="0" fontId="43" fillId="23" borderId="0" xfId="13" applyFont="1" applyFill="1">
      <alignment vertical="center"/>
    </xf>
    <xf numFmtId="0" fontId="42" fillId="23" borderId="0" xfId="13" applyFont="1" applyFill="1" applyAlignment="1">
      <alignment horizontal="center"/>
    </xf>
    <xf numFmtId="0" fontId="44" fillId="23" borderId="0" xfId="13" applyFont="1" applyFill="1" applyAlignment="1"/>
    <xf numFmtId="0" fontId="44" fillId="23" borderId="0" xfId="13" applyFont="1" applyFill="1" applyAlignment="1">
      <alignment horizontal="center" wrapText="1"/>
    </xf>
    <xf numFmtId="0" fontId="45" fillId="23" borderId="0" xfId="13" applyFont="1" applyFill="1" applyAlignment="1"/>
    <xf numFmtId="0" fontId="45" fillId="0" borderId="0" xfId="13" applyFont="1" applyAlignment="1"/>
    <xf numFmtId="0" fontId="40" fillId="0" borderId="0" xfId="13" applyAlignment="1"/>
    <xf numFmtId="0" fontId="40" fillId="0" borderId="0" xfId="13" applyAlignment="1">
      <alignment horizontal="center"/>
    </xf>
    <xf numFmtId="0" fontId="40" fillId="0" borderId="0" xfId="13">
      <alignment vertical="center"/>
    </xf>
    <xf numFmtId="0" fontId="46" fillId="0" borderId="39" xfId="13" applyFont="1" applyBorder="1" applyAlignment="1">
      <alignment horizontal="center" vertical="center" wrapText="1"/>
    </xf>
    <xf numFmtId="0" fontId="48" fillId="0" borderId="0" xfId="13" applyFont="1" applyAlignment="1">
      <alignment horizontal="right" vertical="center"/>
    </xf>
    <xf numFmtId="0" fontId="49" fillId="9" borderId="13" xfId="13" applyFont="1" applyFill="1" applyBorder="1" applyAlignment="1">
      <alignment horizontal="center"/>
    </xf>
    <xf numFmtId="0" fontId="49" fillId="9" borderId="13" xfId="13" applyFont="1" applyFill="1" applyBorder="1" applyAlignment="1">
      <alignment horizontal="center" wrapText="1"/>
    </xf>
    <xf numFmtId="0" fontId="50" fillId="0" borderId="13" xfId="13" applyFont="1" applyBorder="1" applyAlignment="1">
      <alignment horizontal="left"/>
    </xf>
    <xf numFmtId="0" fontId="50" fillId="0" borderId="13" xfId="13" applyFont="1" applyBorder="1" applyAlignment="1">
      <alignment horizontal="left" wrapText="1"/>
    </xf>
    <xf numFmtId="0" fontId="39" fillId="0" borderId="0" xfId="13" applyFont="1" applyAlignment="1">
      <alignment horizontal="center"/>
    </xf>
    <xf numFmtId="0" fontId="34" fillId="9" borderId="13" xfId="13" applyFont="1" applyFill="1" applyBorder="1" applyAlignment="1">
      <alignment horizontal="center"/>
    </xf>
    <xf numFmtId="0" fontId="34" fillId="9" borderId="13" xfId="13" applyFont="1" applyFill="1" applyBorder="1" applyAlignment="1">
      <alignment horizontal="center" wrapText="1"/>
    </xf>
    <xf numFmtId="0" fontId="35" fillId="0" borderId="13" xfId="13" applyFont="1" applyBorder="1" applyAlignment="1">
      <alignment horizontal="center"/>
    </xf>
    <xf numFmtId="4" fontId="51" fillId="0" borderId="13" xfId="13" applyNumberFormat="1" applyFont="1" applyBorder="1" applyAlignment="1">
      <alignment horizontal="right" wrapText="1"/>
    </xf>
    <xf numFmtId="43" fontId="32" fillId="0" borderId="13" xfId="13" applyNumberFormat="1" applyFont="1" applyBorder="1" applyAlignment="1">
      <alignment horizontal="center"/>
    </xf>
    <xf numFmtId="0" fontId="30" fillId="0" borderId="13" xfId="13" applyFont="1" applyBorder="1" applyAlignment="1">
      <alignment horizontal="center"/>
    </xf>
    <xf numFmtId="4" fontId="30" fillId="0" borderId="13" xfId="13" applyNumberFormat="1" applyFont="1" applyBorder="1" applyAlignment="1"/>
    <xf numFmtId="0" fontId="32" fillId="0" borderId="13" xfId="13" applyFont="1" applyBorder="1" applyAlignment="1">
      <alignment horizontal="left" wrapText="1"/>
    </xf>
    <xf numFmtId="43" fontId="30" fillId="0" borderId="13" xfId="13" applyNumberFormat="1" applyFont="1" applyBorder="1" applyAlignment="1">
      <alignment horizontal="center"/>
    </xf>
    <xf numFmtId="0" fontId="52" fillId="0" borderId="0" xfId="13" applyFont="1" applyAlignment="1">
      <alignment horizontal="center"/>
    </xf>
    <xf numFmtId="0" fontId="52" fillId="0" borderId="0" xfId="13" applyFont="1" applyAlignment="1"/>
    <xf numFmtId="4" fontId="52" fillId="0" borderId="0" xfId="13" applyNumberFormat="1" applyFont="1" applyAlignment="1"/>
    <xf numFmtId="4" fontId="39" fillId="0" borderId="0" xfId="13" applyNumberFormat="1" applyFont="1" applyAlignment="1">
      <alignment horizontal="center"/>
    </xf>
    <xf numFmtId="4" fontId="40" fillId="0" borderId="0" xfId="13" applyNumberFormat="1">
      <alignment vertical="center"/>
    </xf>
    <xf numFmtId="0" fontId="53" fillId="0" borderId="0" xfId="13" applyFont="1" applyAlignment="1">
      <alignment horizontal="center"/>
    </xf>
    <xf numFmtId="0" fontId="39" fillId="0" borderId="0" xfId="13" applyFont="1" applyAlignment="1">
      <alignment horizontal="left"/>
    </xf>
    <xf numFmtId="0" fontId="38" fillId="0" borderId="13" xfId="2" applyFont="1" applyBorder="1"/>
    <xf numFmtId="0" fontId="38" fillId="0" borderId="0" xfId="2" applyFont="1"/>
    <xf numFmtId="0" fontId="57" fillId="0" borderId="13" xfId="2" applyFont="1" applyBorder="1"/>
    <xf numFmtId="165" fontId="58" fillId="0" borderId="13" xfId="3" applyFont="1" applyBorder="1"/>
    <xf numFmtId="43" fontId="38" fillId="0" borderId="0" xfId="2" applyNumberFormat="1" applyFont="1"/>
    <xf numFmtId="165" fontId="57" fillId="0" borderId="13" xfId="2" applyNumberFormat="1" applyFont="1" applyBorder="1"/>
    <xf numFmtId="43" fontId="38" fillId="0" borderId="0" xfId="8" applyFont="1"/>
    <xf numFmtId="0" fontId="57" fillId="0" borderId="0" xfId="2" applyFont="1"/>
    <xf numFmtId="0" fontId="53" fillId="0" borderId="0" xfId="13" applyFont="1" applyAlignment="1">
      <alignment horizontal="left"/>
    </xf>
    <xf numFmtId="43" fontId="57" fillId="0" borderId="73" xfId="8" applyFont="1" applyBorder="1"/>
    <xf numFmtId="0" fontId="59" fillId="0" borderId="0" xfId="13" applyFont="1">
      <alignment vertical="center"/>
    </xf>
    <xf numFmtId="0" fontId="57" fillId="0" borderId="0" xfId="2" applyFont="1" applyAlignment="1">
      <alignment horizontal="right"/>
    </xf>
    <xf numFmtId="165" fontId="38" fillId="0" borderId="0" xfId="2" applyNumberFormat="1" applyFont="1"/>
    <xf numFmtId="43" fontId="0" fillId="0" borderId="73" xfId="8" applyFont="1" applyBorder="1"/>
    <xf numFmtId="43" fontId="39" fillId="0" borderId="0" xfId="8" applyFont="1" applyAlignment="1">
      <alignment horizontal="center"/>
    </xf>
    <xf numFmtId="43" fontId="40" fillId="0" borderId="0" xfId="8" applyFont="1" applyAlignment="1">
      <alignment vertical="center"/>
    </xf>
    <xf numFmtId="6" fontId="38" fillId="0" borderId="0" xfId="2" applyNumberFormat="1" applyFont="1"/>
    <xf numFmtId="165" fontId="57" fillId="0" borderId="0" xfId="2" applyNumberFormat="1" applyFont="1"/>
    <xf numFmtId="0" fontId="57" fillId="18" borderId="13" xfId="2" applyFont="1" applyFill="1" applyBorder="1" applyAlignment="1">
      <alignment horizontal="right"/>
    </xf>
    <xf numFmtId="43" fontId="38" fillId="19" borderId="13" xfId="8" applyFont="1" applyFill="1" applyBorder="1"/>
    <xf numFmtId="43" fontId="38" fillId="19" borderId="13" xfId="2" applyNumberFormat="1" applyFont="1" applyFill="1" applyBorder="1"/>
    <xf numFmtId="43" fontId="38" fillId="21" borderId="13" xfId="8" applyFont="1" applyFill="1" applyBorder="1"/>
    <xf numFmtId="43" fontId="38" fillId="21" borderId="13" xfId="2" applyNumberFormat="1" applyFont="1" applyFill="1" applyBorder="1"/>
    <xf numFmtId="0" fontId="57" fillId="18" borderId="16" xfId="2" applyFont="1" applyFill="1" applyBorder="1" applyAlignment="1">
      <alignment horizontal="center"/>
    </xf>
    <xf numFmtId="0" fontId="57" fillId="18" borderId="17" xfId="2" applyFont="1" applyFill="1" applyBorder="1" applyAlignment="1">
      <alignment horizontal="right"/>
    </xf>
    <xf numFmtId="0" fontId="57" fillId="18" borderId="18" xfId="2" applyFont="1" applyFill="1" applyBorder="1" applyAlignment="1">
      <alignment horizontal="right"/>
    </xf>
    <xf numFmtId="0" fontId="38" fillId="21" borderId="19" xfId="2" applyFont="1" applyFill="1" applyBorder="1" applyAlignment="1">
      <alignment horizontal="center"/>
    </xf>
    <xf numFmtId="0" fontId="38" fillId="21" borderId="20" xfId="2" applyFont="1" applyFill="1" applyBorder="1"/>
    <xf numFmtId="0" fontId="38" fillId="21" borderId="24" xfId="2" applyFont="1" applyFill="1" applyBorder="1" applyAlignment="1">
      <alignment horizontal="center"/>
    </xf>
    <xf numFmtId="43" fontId="38" fillId="21" borderId="21" xfId="8" applyFont="1" applyFill="1" applyBorder="1"/>
    <xf numFmtId="43" fontId="38" fillId="21" borderId="21" xfId="2" applyNumberFormat="1" applyFont="1" applyFill="1" applyBorder="1"/>
    <xf numFmtId="43" fontId="57" fillId="21" borderId="25" xfId="2" applyNumberFormat="1" applyFont="1" applyFill="1" applyBorder="1"/>
    <xf numFmtId="0" fontId="38" fillId="19" borderId="16" xfId="2" applyFont="1" applyFill="1" applyBorder="1" applyAlignment="1">
      <alignment horizontal="center"/>
    </xf>
    <xf numFmtId="43" fontId="38" fillId="19" borderId="17" xfId="8" applyFont="1" applyFill="1" applyBorder="1"/>
    <xf numFmtId="43" fontId="38" fillId="19" borderId="17" xfId="2" applyNumberFormat="1" applyFont="1" applyFill="1" applyBorder="1"/>
    <xf numFmtId="0" fontId="38" fillId="19" borderId="18" xfId="2" applyFont="1" applyFill="1" applyBorder="1"/>
    <xf numFmtId="0" fontId="38" fillId="19" borderId="19" xfId="2" applyFont="1" applyFill="1" applyBorder="1" applyAlignment="1">
      <alignment horizontal="center"/>
    </xf>
    <xf numFmtId="0" fontId="38" fillId="19" borderId="20" xfId="2" applyFont="1" applyFill="1" applyBorder="1"/>
    <xf numFmtId="0" fontId="38" fillId="19" borderId="24" xfId="2" applyFont="1" applyFill="1" applyBorder="1" applyAlignment="1">
      <alignment horizontal="center"/>
    </xf>
    <xf numFmtId="43" fontId="38" fillId="19" borderId="21" xfId="8" applyFont="1" applyFill="1" applyBorder="1"/>
    <xf numFmtId="43" fontId="38" fillId="19" borderId="21" xfId="2" applyNumberFormat="1" applyFont="1" applyFill="1" applyBorder="1"/>
    <xf numFmtId="0" fontId="57" fillId="18" borderId="74" xfId="2" applyFont="1" applyFill="1" applyBorder="1" applyAlignment="1">
      <alignment horizontal="center"/>
    </xf>
    <xf numFmtId="0" fontId="57" fillId="18" borderId="23" xfId="2" applyFont="1" applyFill="1" applyBorder="1" applyAlignment="1">
      <alignment horizontal="right"/>
    </xf>
    <xf numFmtId="0" fontId="57" fillId="18" borderId="75" xfId="2" applyFont="1" applyFill="1" applyBorder="1" applyAlignment="1">
      <alignment horizontal="right"/>
    </xf>
    <xf numFmtId="43" fontId="57" fillId="19" borderId="25" xfId="2" applyNumberFormat="1" applyFont="1" applyFill="1" applyBorder="1"/>
    <xf numFmtId="0" fontId="53" fillId="18" borderId="13" xfId="13" applyFont="1" applyFill="1" applyBorder="1" applyAlignment="1">
      <alignment horizontal="right"/>
    </xf>
    <xf numFmtId="0" fontId="59" fillId="18" borderId="13" xfId="13" applyFont="1" applyFill="1" applyBorder="1" applyAlignment="1">
      <alignment horizontal="right" vertical="center"/>
    </xf>
    <xf numFmtId="0" fontId="53" fillId="18" borderId="13" xfId="13" applyFont="1" applyFill="1" applyBorder="1" applyAlignment="1">
      <alignment horizontal="center"/>
    </xf>
    <xf numFmtId="0" fontId="38" fillId="18" borderId="13" xfId="2" applyFont="1" applyFill="1" applyBorder="1" applyAlignment="1">
      <alignment horizontal="center"/>
    </xf>
    <xf numFmtId="0" fontId="39" fillId="19" borderId="13" xfId="13" applyFont="1" applyFill="1" applyBorder="1" applyAlignment="1">
      <alignment horizontal="center"/>
    </xf>
    <xf numFmtId="0" fontId="38" fillId="0" borderId="78" xfId="2" applyFont="1" applyBorder="1"/>
    <xf numFmtId="43" fontId="38" fillId="0" borderId="0" xfId="8" applyFont="1" applyBorder="1"/>
    <xf numFmtId="43" fontId="38" fillId="0" borderId="79" xfId="8" applyFont="1" applyBorder="1"/>
    <xf numFmtId="0" fontId="60" fillId="9" borderId="13" xfId="13" applyFont="1" applyFill="1" applyBorder="1" applyAlignment="1"/>
    <xf numFmtId="0" fontId="60" fillId="9" borderId="13" xfId="13" applyFont="1" applyFill="1" applyBorder="1" applyAlignment="1">
      <alignment wrapText="1"/>
    </xf>
    <xf numFmtId="0" fontId="35" fillId="0" borderId="13" xfId="13" applyFont="1" applyBorder="1" applyAlignment="1">
      <alignment horizontal="left"/>
    </xf>
    <xf numFmtId="4" fontId="61" fillId="0" borderId="13" xfId="13" applyNumberFormat="1" applyFont="1" applyBorder="1" applyAlignment="1">
      <alignment horizontal="right" wrapText="1"/>
    </xf>
    <xf numFmtId="43" fontId="35" fillId="0" borderId="13" xfId="13" applyNumberFormat="1" applyFont="1" applyBorder="1" applyAlignment="1">
      <alignment horizontal="center"/>
    </xf>
    <xf numFmtId="165" fontId="52" fillId="0" borderId="13" xfId="13" applyNumberFormat="1" applyFont="1" applyBorder="1" applyAlignment="1"/>
    <xf numFmtId="0" fontId="35" fillId="0" borderId="13" xfId="13" applyFont="1" applyBorder="1" applyAlignment="1">
      <alignment horizontal="left" wrapText="1"/>
    </xf>
    <xf numFmtId="0" fontId="34" fillId="0" borderId="13" xfId="13" applyFont="1" applyBorder="1" applyAlignment="1">
      <alignment horizontal="center"/>
    </xf>
    <xf numFmtId="4" fontId="34" fillId="0" borderId="13" xfId="13" applyNumberFormat="1" applyFont="1" applyBorder="1" applyAlignment="1"/>
    <xf numFmtId="165" fontId="60" fillId="0" borderId="13" xfId="13" applyNumberFormat="1" applyFont="1" applyBorder="1" applyAlignment="1"/>
    <xf numFmtId="0" fontId="62" fillId="0" borderId="13" xfId="10" applyFont="1" applyBorder="1" applyAlignment="1">
      <alignment horizontal="center"/>
    </xf>
    <xf numFmtId="165" fontId="62" fillId="0" borderId="13" xfId="11" applyFont="1" applyBorder="1" applyAlignment="1">
      <alignment horizontal="center" wrapText="1"/>
    </xf>
    <xf numFmtId="0" fontId="63" fillId="0" borderId="13" xfId="10" applyFont="1" applyBorder="1" applyAlignment="1">
      <alignment horizontal="center"/>
    </xf>
    <xf numFmtId="14" fontId="63" fillId="0" borderId="13" xfId="10" applyNumberFormat="1" applyFont="1" applyBorder="1"/>
    <xf numFmtId="165" fontId="63" fillId="0" borderId="13" xfId="11" applyFont="1" applyBorder="1"/>
    <xf numFmtId="0" fontId="63" fillId="0" borderId="13" xfId="10" applyFont="1" applyBorder="1"/>
    <xf numFmtId="0" fontId="1" fillId="0" borderId="0" xfId="10"/>
    <xf numFmtId="0" fontId="62" fillId="0" borderId="13" xfId="10" applyFont="1" applyBorder="1"/>
    <xf numFmtId="165" fontId="62" fillId="0" borderId="13" xfId="11" applyFont="1" applyBorder="1"/>
    <xf numFmtId="165" fontId="64" fillId="0" borderId="0" xfId="11" applyFont="1"/>
    <xf numFmtId="0" fontId="66" fillId="24" borderId="16" xfId="4" applyFont="1" applyFill="1" applyBorder="1" applyAlignment="1">
      <alignment horizontal="center" wrapText="1"/>
    </xf>
    <xf numFmtId="0" fontId="66" fillId="24" borderId="17" xfId="4" applyFont="1" applyFill="1" applyBorder="1" applyAlignment="1">
      <alignment horizontal="center" wrapText="1"/>
    </xf>
    <xf numFmtId="0" fontId="66" fillId="24" borderId="18" xfId="4" applyFont="1" applyFill="1" applyBorder="1" applyAlignment="1">
      <alignment horizontal="center" wrapText="1"/>
    </xf>
    <xf numFmtId="0" fontId="67" fillId="25" borderId="19" xfId="4" applyFont="1" applyFill="1" applyBorder="1"/>
    <xf numFmtId="0" fontId="67" fillId="25" borderId="13" xfId="4" applyFont="1" applyFill="1" applyBorder="1"/>
    <xf numFmtId="0" fontId="67" fillId="25" borderId="20" xfId="4" applyFont="1" applyFill="1" applyBorder="1"/>
    <xf numFmtId="0" fontId="67" fillId="0" borderId="19" xfId="4" applyFont="1" applyBorder="1"/>
    <xf numFmtId="176" fontId="67" fillId="0" borderId="13" xfId="4" applyNumberFormat="1" applyFont="1" applyBorder="1" applyAlignment="1">
      <alignment horizontal="right"/>
    </xf>
    <xf numFmtId="176" fontId="67" fillId="0" borderId="20" xfId="4" applyNumberFormat="1" applyFont="1" applyBorder="1" applyAlignment="1">
      <alignment horizontal="right"/>
    </xf>
    <xf numFmtId="0" fontId="68" fillId="0" borderId="19" xfId="4" applyFont="1" applyBorder="1"/>
    <xf numFmtId="4" fontId="68" fillId="0" borderId="13" xfId="4" applyNumberFormat="1" applyFont="1" applyBorder="1" applyAlignment="1">
      <alignment horizontal="right"/>
    </xf>
    <xf numFmtId="4" fontId="68" fillId="0" borderId="20" xfId="4" applyNumberFormat="1" applyFont="1" applyBorder="1" applyAlignment="1">
      <alignment horizontal="right"/>
    </xf>
    <xf numFmtId="4" fontId="69" fillId="0" borderId="13" xfId="4" applyNumberFormat="1" applyFont="1" applyBorder="1" applyAlignment="1">
      <alignment horizontal="right"/>
    </xf>
    <xf numFmtId="4" fontId="69" fillId="0" borderId="20" xfId="4" applyNumberFormat="1" applyFont="1" applyBorder="1" applyAlignment="1">
      <alignment horizontal="right"/>
    </xf>
    <xf numFmtId="0" fontId="70" fillId="0" borderId="31" xfId="4" applyFont="1" applyBorder="1" applyAlignment="1">
      <alignment horizontal="left" wrapText="1"/>
    </xf>
    <xf numFmtId="4" fontId="71" fillId="0" borderId="40" xfId="4" applyNumberFormat="1" applyFont="1" applyBorder="1" applyAlignment="1">
      <alignment horizontal="right"/>
    </xf>
    <xf numFmtId="4" fontId="71" fillId="0" borderId="83" xfId="4" applyNumberFormat="1" applyFont="1" applyBorder="1" applyAlignment="1">
      <alignment horizontal="right"/>
    </xf>
    <xf numFmtId="0" fontId="68" fillId="0" borderId="16" xfId="4" applyFont="1" applyBorder="1"/>
    <xf numFmtId="4" fontId="69" fillId="0" borderId="17" xfId="4" applyNumberFormat="1" applyFont="1" applyBorder="1" applyAlignment="1">
      <alignment horizontal="right"/>
    </xf>
    <xf numFmtId="4" fontId="69" fillId="0" borderId="18" xfId="4" applyNumberFormat="1" applyFont="1" applyBorder="1" applyAlignment="1">
      <alignment horizontal="right"/>
    </xf>
    <xf numFmtId="0" fontId="67" fillId="0" borderId="24" xfId="4" applyFont="1" applyBorder="1"/>
    <xf numFmtId="165" fontId="72" fillId="0" borderId="21" xfId="11" applyFont="1" applyBorder="1" applyAlignment="1">
      <alignment horizontal="right"/>
    </xf>
    <xf numFmtId="165" fontId="72" fillId="0" borderId="25" xfId="11" applyFont="1" applyBorder="1" applyAlignment="1">
      <alignment horizontal="right"/>
    </xf>
    <xf numFmtId="165" fontId="13" fillId="0" borderId="0" xfId="4" applyNumberFormat="1"/>
    <xf numFmtId="0" fontId="1" fillId="0" borderId="0" xfId="9"/>
    <xf numFmtId="4" fontId="1" fillId="0" borderId="0" xfId="9" applyNumberFormat="1"/>
    <xf numFmtId="0" fontId="73" fillId="0" borderId="0" xfId="4" applyFont="1"/>
    <xf numFmtId="0" fontId="74" fillId="0" borderId="0" xfId="4" applyFont="1"/>
    <xf numFmtId="0" fontId="75" fillId="0" borderId="0" xfId="4" applyFont="1"/>
    <xf numFmtId="0" fontId="78" fillId="0" borderId="13" xfId="2" applyFont="1" applyBorder="1"/>
    <xf numFmtId="0" fontId="79" fillId="0" borderId="13" xfId="2" applyFont="1" applyBorder="1" applyAlignment="1">
      <alignment wrapText="1"/>
    </xf>
    <xf numFmtId="167" fontId="79" fillId="0" borderId="13" xfId="3" applyNumberFormat="1" applyFont="1" applyFill="1" applyBorder="1" applyAlignment="1">
      <alignment horizontal="center" wrapText="1" shrinkToFit="1"/>
    </xf>
    <xf numFmtId="9" fontId="78" fillId="9" borderId="13" xfId="5" applyFont="1" applyFill="1" applyBorder="1"/>
    <xf numFmtId="0" fontId="78" fillId="0" borderId="0" xfId="2" applyFont="1"/>
    <xf numFmtId="167" fontId="79" fillId="9" borderId="13" xfId="2" applyNumberFormat="1" applyFont="1" applyFill="1" applyBorder="1"/>
    <xf numFmtId="167" fontId="78" fillId="0" borderId="13" xfId="3" applyNumberFormat="1" applyFont="1" applyFill="1" applyBorder="1" applyAlignment="1">
      <alignment horizontal="center" wrapText="1" shrinkToFit="1"/>
    </xf>
    <xf numFmtId="0" fontId="80" fillId="0" borderId="13" xfId="2" applyFont="1" applyBorder="1"/>
    <xf numFmtId="0" fontId="81" fillId="0" borderId="13" xfId="2" applyFont="1" applyBorder="1"/>
    <xf numFmtId="167" fontId="81" fillId="0" borderId="13" xfId="3" applyNumberFormat="1" applyFont="1" applyFill="1" applyBorder="1" applyAlignment="1">
      <alignment horizontal="center" wrapText="1" shrinkToFit="1"/>
    </xf>
    <xf numFmtId="167" fontId="81" fillId="9" borderId="13" xfId="2" applyNumberFormat="1" applyFont="1" applyFill="1" applyBorder="1"/>
    <xf numFmtId="9" fontId="80" fillId="9" borderId="13" xfId="5" applyFont="1" applyFill="1" applyBorder="1"/>
    <xf numFmtId="0" fontId="80" fillId="0" borderId="0" xfId="2" applyFont="1"/>
    <xf numFmtId="0" fontId="82" fillId="0" borderId="13" xfId="2" applyFont="1" applyBorder="1"/>
    <xf numFmtId="0" fontId="83" fillId="0" borderId="13" xfId="2" applyFont="1" applyBorder="1"/>
    <xf numFmtId="167" fontId="83" fillId="0" borderId="13" xfId="3" applyNumberFormat="1" applyFont="1" applyFill="1" applyBorder="1" applyAlignment="1">
      <alignment horizontal="center" wrapText="1" shrinkToFit="1"/>
    </xf>
    <xf numFmtId="167" fontId="83" fillId="9" borderId="13" xfId="2" applyNumberFormat="1" applyFont="1" applyFill="1" applyBorder="1"/>
    <xf numFmtId="9" fontId="82" fillId="9" borderId="13" xfId="5" applyFont="1" applyFill="1" applyBorder="1"/>
    <xf numFmtId="0" fontId="82" fillId="0" borderId="0" xfId="2" applyFont="1"/>
    <xf numFmtId="0" fontId="84" fillId="0" borderId="13" xfId="2" applyFont="1" applyBorder="1"/>
    <xf numFmtId="0" fontId="85" fillId="0" borderId="13" xfId="2" applyFont="1" applyBorder="1"/>
    <xf numFmtId="167" fontId="85" fillId="0" borderId="13" xfId="3" applyNumberFormat="1" applyFont="1" applyFill="1" applyBorder="1" applyAlignment="1">
      <alignment horizontal="center" wrapText="1" shrinkToFit="1"/>
    </xf>
    <xf numFmtId="167" fontId="85" fillId="9" borderId="13" xfId="2" applyNumberFormat="1" applyFont="1" applyFill="1" applyBorder="1"/>
    <xf numFmtId="9" fontId="84" fillId="9" borderId="13" xfId="5" applyFont="1" applyFill="1" applyBorder="1"/>
    <xf numFmtId="0" fontId="84" fillId="0" borderId="0" xfId="2" applyFont="1"/>
    <xf numFmtId="0" fontId="86" fillId="0" borderId="0" xfId="0" applyFont="1"/>
    <xf numFmtId="0" fontId="86" fillId="0" borderId="0" xfId="0" applyFont="1" applyAlignment="1">
      <alignment horizontal="left"/>
    </xf>
    <xf numFmtId="0" fontId="87" fillId="0" borderId="0" xfId="0" applyFont="1" applyAlignment="1">
      <alignment horizontal="left"/>
    </xf>
    <xf numFmtId="0" fontId="87" fillId="18" borderId="13" xfId="0" applyFont="1" applyFill="1" applyBorder="1" applyAlignment="1">
      <alignment horizontal="center"/>
    </xf>
    <xf numFmtId="173" fontId="86" fillId="0" borderId="13" xfId="8" applyNumberFormat="1" applyFont="1" applyBorder="1"/>
    <xf numFmtId="173" fontId="87" fillId="19" borderId="13" xfId="8" applyNumberFormat="1" applyFont="1" applyFill="1" applyBorder="1"/>
    <xf numFmtId="173" fontId="86" fillId="20" borderId="13" xfId="8" applyNumberFormat="1" applyFont="1" applyFill="1" applyBorder="1"/>
    <xf numFmtId="173" fontId="86" fillId="26" borderId="13" xfId="8" applyNumberFormat="1" applyFont="1" applyFill="1" applyBorder="1"/>
    <xf numFmtId="173" fontId="86" fillId="27" borderId="13" xfId="8" applyNumberFormat="1" applyFont="1" applyFill="1" applyBorder="1"/>
    <xf numFmtId="9" fontId="89" fillId="28" borderId="40" xfId="1" applyFont="1" applyFill="1" applyBorder="1"/>
    <xf numFmtId="0" fontId="87" fillId="18" borderId="76" xfId="0" applyFont="1" applyFill="1" applyBorder="1" applyAlignment="1">
      <alignment horizontal="left"/>
    </xf>
    <xf numFmtId="0" fontId="86" fillId="18" borderId="77" xfId="0" applyFont="1" applyFill="1" applyBorder="1"/>
    <xf numFmtId="0" fontId="86" fillId="18" borderId="28" xfId="0" applyFont="1" applyFill="1" applyBorder="1"/>
    <xf numFmtId="0" fontId="88" fillId="18" borderId="80" xfId="0" applyFont="1" applyFill="1" applyBorder="1" applyAlignment="1">
      <alignment horizontal="left"/>
    </xf>
    <xf numFmtId="0" fontId="86" fillId="18" borderId="84" xfId="0" applyFont="1" applyFill="1" applyBorder="1"/>
    <xf numFmtId="0" fontId="86" fillId="18" borderId="47" xfId="0" applyFont="1" applyFill="1" applyBorder="1"/>
    <xf numFmtId="0" fontId="91" fillId="0" borderId="13" xfId="2" applyFont="1" applyBorder="1"/>
    <xf numFmtId="0" fontId="92" fillId="0" borderId="13" xfId="2" applyFont="1" applyBorder="1" applyAlignment="1">
      <alignment wrapText="1"/>
    </xf>
    <xf numFmtId="167" fontId="92" fillId="0" borderId="13" xfId="3" applyNumberFormat="1" applyFont="1" applyFill="1" applyBorder="1" applyAlignment="1">
      <alignment horizontal="center" wrapText="1" shrinkToFit="1"/>
    </xf>
    <xf numFmtId="167" fontId="92" fillId="9" borderId="13" xfId="2" applyNumberFormat="1" applyFont="1" applyFill="1" applyBorder="1"/>
    <xf numFmtId="9" fontId="91" fillId="9" borderId="13" xfId="5" applyFont="1" applyFill="1" applyBorder="1"/>
    <xf numFmtId="0" fontId="91" fillId="0" borderId="0" xfId="2" applyFont="1"/>
    <xf numFmtId="0" fontId="86" fillId="18" borderId="0" xfId="0" applyFont="1" applyFill="1"/>
    <xf numFmtId="0" fontId="86" fillId="18" borderId="79" xfId="0" applyFont="1" applyFill="1" applyBorder="1"/>
    <xf numFmtId="0" fontId="88" fillId="18" borderId="78" xfId="0" applyFont="1" applyFill="1" applyBorder="1" applyAlignment="1">
      <alignment horizontal="left"/>
    </xf>
    <xf numFmtId="0" fontId="93" fillId="0" borderId="13" xfId="2" applyFont="1" applyBorder="1"/>
    <xf numFmtId="0" fontId="94" fillId="0" borderId="13" xfId="2" applyFont="1" applyBorder="1" applyAlignment="1">
      <alignment wrapText="1"/>
    </xf>
    <xf numFmtId="167" fontId="93" fillId="0" borderId="13" xfId="3" applyNumberFormat="1" applyFont="1" applyFill="1" applyBorder="1" applyAlignment="1">
      <alignment horizontal="center" wrapText="1" shrinkToFit="1"/>
    </xf>
    <xf numFmtId="167" fontId="94" fillId="0" borderId="13" xfId="3" applyNumberFormat="1" applyFont="1" applyFill="1" applyBorder="1" applyAlignment="1">
      <alignment horizontal="center" wrapText="1" shrinkToFit="1"/>
    </xf>
    <xf numFmtId="167" fontId="94" fillId="9" borderId="13" xfId="2" applyNumberFormat="1" applyFont="1" applyFill="1" applyBorder="1"/>
    <xf numFmtId="9" fontId="93" fillId="9" borderId="13" xfId="5" applyFont="1" applyFill="1" applyBorder="1"/>
    <xf numFmtId="0" fontId="93" fillId="0" borderId="0" xfId="2" applyFont="1"/>
    <xf numFmtId="0" fontId="92" fillId="0" borderId="13" xfId="2" applyFont="1" applyBorder="1"/>
    <xf numFmtId="167" fontId="91" fillId="0" borderId="13" xfId="3" applyNumberFormat="1" applyFont="1" applyFill="1" applyBorder="1" applyAlignment="1">
      <alignment horizontal="center" wrapText="1" shrinkToFit="1"/>
    </xf>
    <xf numFmtId="0" fontId="95" fillId="0" borderId="13" xfId="2" applyFont="1" applyBorder="1"/>
    <xf numFmtId="0" fontId="96" fillId="0" borderId="13" xfId="2" applyFont="1" applyBorder="1"/>
    <xf numFmtId="167" fontId="96" fillId="0" borderId="13" xfId="3" applyNumberFormat="1" applyFont="1" applyFill="1" applyBorder="1" applyAlignment="1">
      <alignment horizontal="center" wrapText="1" shrinkToFit="1"/>
    </xf>
    <xf numFmtId="167" fontId="95" fillId="0" borderId="13" xfId="3" applyNumberFormat="1" applyFont="1" applyFill="1" applyBorder="1" applyAlignment="1">
      <alignment horizontal="center" wrapText="1" shrinkToFit="1"/>
    </xf>
    <xf numFmtId="167" fontId="96" fillId="9" borderId="13" xfId="2" applyNumberFormat="1" applyFont="1" applyFill="1" applyBorder="1"/>
    <xf numFmtId="9" fontId="95" fillId="9" borderId="13" xfId="5" applyFont="1" applyFill="1" applyBorder="1"/>
    <xf numFmtId="0" fontId="95" fillId="0" borderId="0" xfId="2" applyFont="1"/>
    <xf numFmtId="0" fontId="97" fillId="0" borderId="13" xfId="2" applyFont="1" applyBorder="1"/>
    <xf numFmtId="0" fontId="98" fillId="0" borderId="13" xfId="2" applyFont="1" applyBorder="1"/>
    <xf numFmtId="167" fontId="98" fillId="0" borderId="13" xfId="3" applyNumberFormat="1" applyFont="1" applyFill="1" applyBorder="1" applyAlignment="1">
      <alignment horizontal="center" wrapText="1" shrinkToFit="1"/>
    </xf>
    <xf numFmtId="167" fontId="97" fillId="0" borderId="13" xfId="3" applyNumberFormat="1" applyFont="1" applyFill="1" applyBorder="1" applyAlignment="1">
      <alignment horizontal="center" wrapText="1" shrinkToFit="1"/>
    </xf>
    <xf numFmtId="167" fontId="98" fillId="9" borderId="13" xfId="2" applyNumberFormat="1" applyFont="1" applyFill="1" applyBorder="1"/>
    <xf numFmtId="9" fontId="97" fillId="9" borderId="13" xfId="5" applyFont="1" applyFill="1" applyBorder="1"/>
    <xf numFmtId="0" fontId="97" fillId="0" borderId="0" xfId="2" applyFont="1"/>
    <xf numFmtId="43" fontId="94" fillId="0" borderId="13" xfId="8" applyFont="1" applyFill="1" applyBorder="1" applyAlignment="1">
      <alignment horizontal="center" wrapText="1" shrinkToFit="1"/>
    </xf>
    <xf numFmtId="43" fontId="94" fillId="9" borderId="13" xfId="8" applyFont="1" applyFill="1" applyBorder="1"/>
    <xf numFmtId="0" fontId="99" fillId="0" borderId="13" xfId="2" applyFont="1" applyBorder="1"/>
    <xf numFmtId="0" fontId="100" fillId="0" borderId="13" xfId="2" applyFont="1" applyBorder="1" applyAlignment="1">
      <alignment wrapText="1"/>
    </xf>
    <xf numFmtId="43" fontId="99" fillId="0" borderId="13" xfId="8" applyFont="1" applyFill="1" applyBorder="1" applyAlignment="1">
      <alignment horizontal="center" wrapText="1" shrinkToFit="1"/>
    </xf>
    <xf numFmtId="43" fontId="100" fillId="9" borderId="13" xfId="8" applyFont="1" applyFill="1" applyBorder="1"/>
    <xf numFmtId="9" fontId="99" fillId="9" borderId="13" xfId="5" applyFont="1" applyFill="1" applyBorder="1"/>
    <xf numFmtId="0" fontId="99" fillId="0" borderId="0" xfId="2" applyFont="1"/>
    <xf numFmtId="0" fontId="101" fillId="0" borderId="13" xfId="2" applyFont="1" applyBorder="1"/>
    <xf numFmtId="0" fontId="102" fillId="0" borderId="13" xfId="2" applyFont="1" applyBorder="1"/>
    <xf numFmtId="43" fontId="102" fillId="0" borderId="13" xfId="8" applyFont="1" applyFill="1" applyBorder="1" applyAlignment="1">
      <alignment horizontal="center" wrapText="1" shrinkToFit="1"/>
    </xf>
    <xf numFmtId="43" fontId="102" fillId="9" borderId="13" xfId="8" applyFont="1" applyFill="1" applyBorder="1"/>
    <xf numFmtId="9" fontId="101" fillId="9" borderId="13" xfId="5" applyFont="1" applyFill="1" applyBorder="1"/>
    <xf numFmtId="0" fontId="101" fillId="0" borderId="0" xfId="2" applyFont="1"/>
    <xf numFmtId="43" fontId="96" fillId="0" borderId="13" xfId="8" applyFont="1" applyFill="1" applyBorder="1" applyAlignment="1">
      <alignment horizontal="center" wrapText="1" shrinkToFit="1"/>
    </xf>
    <xf numFmtId="43" fontId="96" fillId="9" borderId="13" xfId="8" applyFont="1" applyFill="1" applyBorder="1"/>
    <xf numFmtId="43" fontId="98" fillId="0" borderId="13" xfId="8" applyFont="1" applyFill="1" applyBorder="1" applyAlignment="1">
      <alignment horizontal="center" wrapText="1" shrinkToFit="1"/>
    </xf>
    <xf numFmtId="43" fontId="98" fillId="9" borderId="13" xfId="8" applyFont="1" applyFill="1" applyBorder="1"/>
    <xf numFmtId="43" fontId="100" fillId="0" borderId="13" xfId="8" applyFont="1" applyFill="1" applyBorder="1" applyAlignment="1">
      <alignment horizontal="center" wrapText="1" shrinkToFit="1"/>
    </xf>
    <xf numFmtId="43" fontId="93" fillId="0" borderId="13" xfId="8" applyFont="1" applyFill="1" applyBorder="1" applyAlignment="1">
      <alignment horizontal="center" wrapText="1" shrinkToFit="1"/>
    </xf>
    <xf numFmtId="0" fontId="90" fillId="29" borderId="16" xfId="0" applyFont="1" applyFill="1" applyBorder="1" applyAlignment="1">
      <alignment horizontal="center"/>
    </xf>
    <xf numFmtId="0" fontId="87" fillId="18" borderId="17" xfId="0" applyFont="1" applyFill="1" applyBorder="1" applyAlignment="1">
      <alignment horizontal="center"/>
    </xf>
    <xf numFmtId="0" fontId="87" fillId="18" borderId="18" xfId="0" applyFont="1" applyFill="1" applyBorder="1" applyAlignment="1">
      <alignment horizontal="center"/>
    </xf>
    <xf numFmtId="0" fontId="86" fillId="18" borderId="19" xfId="0" applyFont="1" applyFill="1" applyBorder="1" applyAlignment="1">
      <alignment horizontal="left"/>
    </xf>
    <xf numFmtId="0" fontId="87" fillId="18" borderId="20" xfId="0" applyFont="1" applyFill="1" applyBorder="1" applyAlignment="1">
      <alignment horizontal="center"/>
    </xf>
    <xf numFmtId="0" fontId="86" fillId="0" borderId="19" xfId="0" applyFont="1" applyBorder="1" applyAlignment="1">
      <alignment horizontal="left"/>
    </xf>
    <xf numFmtId="173" fontId="86" fillId="0" borderId="20" xfId="8" applyNumberFormat="1" applyFont="1" applyBorder="1"/>
    <xf numFmtId="0" fontId="87" fillId="19" borderId="19" xfId="0" applyFont="1" applyFill="1" applyBorder="1" applyAlignment="1">
      <alignment horizontal="left"/>
    </xf>
    <xf numFmtId="173" fontId="87" fillId="19" borderId="20" xfId="8" applyNumberFormat="1" applyFont="1" applyFill="1" applyBorder="1"/>
    <xf numFmtId="0" fontId="89" fillId="28" borderId="31" xfId="0" applyFont="1" applyFill="1" applyBorder="1" applyAlignment="1">
      <alignment horizontal="left"/>
    </xf>
    <xf numFmtId="9" fontId="89" fillId="28" borderId="83" xfId="1" applyFont="1" applyFill="1" applyBorder="1"/>
    <xf numFmtId="0" fontId="86" fillId="0" borderId="78" xfId="0" applyFont="1" applyBorder="1" applyAlignment="1">
      <alignment horizontal="left"/>
    </xf>
    <xf numFmtId="0" fontId="86" fillId="0" borderId="79" xfId="0" applyFont="1" applyBorder="1"/>
    <xf numFmtId="0" fontId="90" fillId="29" borderId="19" xfId="0" applyFont="1" applyFill="1" applyBorder="1" applyAlignment="1">
      <alignment horizontal="center"/>
    </xf>
    <xf numFmtId="173" fontId="0" fillId="18" borderId="13" xfId="0" applyNumberFormat="1" applyFill="1" applyBorder="1" applyAlignment="1">
      <alignment horizontal="right"/>
    </xf>
    <xf numFmtId="173" fontId="86" fillId="0" borderId="0" xfId="8" applyNumberFormat="1" applyFont="1"/>
    <xf numFmtId="0" fontId="103" fillId="0" borderId="0" xfId="0" applyFont="1"/>
    <xf numFmtId="165" fontId="1" fillId="0" borderId="0" xfId="4" applyNumberFormat="1" applyFont="1"/>
    <xf numFmtId="0" fontId="12" fillId="0" borderId="0" xfId="9" applyFont="1"/>
    <xf numFmtId="173" fontId="0" fillId="0" borderId="0" xfId="0" applyNumberFormat="1"/>
    <xf numFmtId="9" fontId="1" fillId="0" borderId="0" xfId="1" applyFont="1"/>
    <xf numFmtId="173" fontId="1" fillId="0" borderId="13" xfId="8" applyNumberFormat="1" applyFont="1" applyBorder="1"/>
    <xf numFmtId="9" fontId="1" fillId="0" borderId="13" xfId="1" applyFont="1" applyBorder="1"/>
    <xf numFmtId="9" fontId="12" fillId="0" borderId="13" xfId="1" applyFont="1" applyBorder="1"/>
    <xf numFmtId="0" fontId="108" fillId="0" borderId="0" xfId="9" applyFont="1"/>
    <xf numFmtId="43" fontId="0" fillId="0" borderId="13" xfId="8" applyFont="1" applyBorder="1"/>
    <xf numFmtId="43" fontId="29" fillId="0" borderId="13" xfId="8" applyFont="1" applyBorder="1" applyAlignment="1">
      <alignment horizontal="right"/>
    </xf>
    <xf numFmtId="173" fontId="38" fillId="0" borderId="0" xfId="8" applyNumberFormat="1" applyFont="1"/>
    <xf numFmtId="0" fontId="109" fillId="0" borderId="0" xfId="0" applyFont="1"/>
    <xf numFmtId="0" fontId="110" fillId="0" borderId="0" xfId="0" applyFont="1"/>
    <xf numFmtId="0" fontId="4" fillId="18" borderId="0" xfId="0" applyFont="1" applyFill="1"/>
    <xf numFmtId="0" fontId="111" fillId="22" borderId="0" xfId="0" applyFont="1" applyFill="1" applyAlignment="1">
      <alignment horizontal="center"/>
    </xf>
    <xf numFmtId="0" fontId="112" fillId="22" borderId="0" xfId="0" applyFont="1" applyFill="1"/>
    <xf numFmtId="0" fontId="112" fillId="22" borderId="0" xfId="0" applyFont="1" applyFill="1" applyAlignment="1">
      <alignment horizontal="right"/>
    </xf>
    <xf numFmtId="0" fontId="112" fillId="22" borderId="0" xfId="0" applyFont="1" applyFill="1" applyAlignment="1">
      <alignment horizontal="left"/>
    </xf>
    <xf numFmtId="0" fontId="112" fillId="22" borderId="0" xfId="0" applyFont="1" applyFill="1" applyAlignment="1">
      <alignment horizontal="center"/>
    </xf>
    <xf numFmtId="0" fontId="113" fillId="22" borderId="0" xfId="0" applyFont="1" applyFill="1"/>
    <xf numFmtId="0" fontId="113" fillId="22" borderId="0" xfId="0" applyFont="1" applyFill="1" applyAlignment="1">
      <alignment horizontal="center"/>
    </xf>
    <xf numFmtId="0" fontId="113" fillId="22" borderId="0" xfId="0" applyFont="1" applyFill="1" applyAlignment="1">
      <alignment horizontal="right"/>
    </xf>
    <xf numFmtId="0" fontId="113" fillId="22" borderId="0" xfId="0" applyFont="1" applyFill="1" applyAlignment="1">
      <alignment horizontal="left"/>
    </xf>
    <xf numFmtId="0" fontId="114" fillId="22" borderId="0" xfId="0" applyFont="1" applyFill="1" applyAlignment="1">
      <alignment horizontal="right"/>
    </xf>
    <xf numFmtId="0" fontId="115" fillId="22" borderId="0" xfId="0" applyFont="1" applyFill="1"/>
    <xf numFmtId="0" fontId="114" fillId="22" borderId="0" xfId="0" applyFont="1" applyFill="1"/>
    <xf numFmtId="0" fontId="114" fillId="22" borderId="0" xfId="0" applyFont="1" applyFill="1" applyAlignment="1">
      <alignment horizontal="center"/>
    </xf>
    <xf numFmtId="0" fontId="116" fillId="22" borderId="0" xfId="0" applyFont="1" applyFill="1"/>
    <xf numFmtId="0" fontId="118" fillId="22" borderId="0" xfId="0" applyFont="1" applyFill="1"/>
    <xf numFmtId="0" fontId="53" fillId="22" borderId="0" xfId="0" applyFont="1" applyFill="1" applyAlignment="1">
      <alignment horizontal="center"/>
    </xf>
    <xf numFmtId="0" fontId="39" fillId="22" borderId="0" xfId="0" applyFont="1" applyFill="1" applyAlignment="1">
      <alignment horizontal="right"/>
    </xf>
    <xf numFmtId="0" fontId="39" fillId="22" borderId="0" xfId="0" applyFont="1" applyFill="1"/>
    <xf numFmtId="0" fontId="39" fillId="22" borderId="0" xfId="0" applyFont="1" applyFill="1" applyAlignment="1">
      <alignment horizontal="left"/>
    </xf>
    <xf numFmtId="0" fontId="39" fillId="22" borderId="0" xfId="0" applyFont="1" applyFill="1" applyAlignment="1">
      <alignment horizontal="center"/>
    </xf>
    <xf numFmtId="0" fontId="53" fillId="22" borderId="0" xfId="0" applyFont="1" applyFill="1"/>
    <xf numFmtId="0" fontId="53" fillId="30" borderId="41" xfId="0" applyFont="1" applyFill="1" applyBorder="1"/>
    <xf numFmtId="0" fontId="53" fillId="30" borderId="42" xfId="0" applyFont="1" applyFill="1" applyBorder="1" applyAlignment="1">
      <alignment horizontal="center"/>
    </xf>
    <xf numFmtId="0" fontId="53" fillId="30" borderId="43" xfId="0" applyFont="1" applyFill="1" applyBorder="1" applyAlignment="1">
      <alignment horizontal="right"/>
    </xf>
    <xf numFmtId="0" fontId="39" fillId="22" borderId="86" xfId="0" applyFont="1" applyFill="1" applyBorder="1"/>
    <xf numFmtId="0" fontId="119" fillId="22" borderId="87" xfId="0" applyFont="1" applyFill="1" applyBorder="1" applyAlignment="1">
      <alignment vertical="center"/>
    </xf>
    <xf numFmtId="0" fontId="39" fillId="22" borderId="74" xfId="0" applyFont="1" applyFill="1" applyBorder="1"/>
    <xf numFmtId="0" fontId="39" fillId="22" borderId="23" xfId="0" applyFont="1" applyFill="1" applyBorder="1" applyAlignment="1">
      <alignment horizontal="center"/>
    </xf>
    <xf numFmtId="173" fontId="39" fillId="22" borderId="75" xfId="0" applyNumberFormat="1" applyFont="1" applyFill="1" applyBorder="1" applyAlignment="1">
      <alignment horizontal="right"/>
    </xf>
    <xf numFmtId="0" fontId="39" fillId="22" borderId="78" xfId="0" applyFont="1" applyFill="1" applyBorder="1"/>
    <xf numFmtId="0" fontId="117" fillId="22" borderId="79" xfId="0" applyFont="1" applyFill="1" applyBorder="1" applyAlignment="1">
      <alignment horizontal="left" vertical="center" indent="1"/>
    </xf>
    <xf numFmtId="0" fontId="39" fillId="22" borderId="19" xfId="0" applyFont="1" applyFill="1" applyBorder="1"/>
    <xf numFmtId="0" fontId="39" fillId="22" borderId="13" xfId="0" applyFont="1" applyFill="1" applyBorder="1" applyAlignment="1">
      <alignment horizontal="center"/>
    </xf>
    <xf numFmtId="173" fontId="39" fillId="22" borderId="20" xfId="0" applyNumberFormat="1" applyFont="1" applyFill="1" applyBorder="1" applyAlignment="1">
      <alignment horizontal="right"/>
    </xf>
    <xf numFmtId="0" fontId="53" fillId="22" borderId="41" xfId="0" applyFont="1" applyFill="1" applyBorder="1"/>
    <xf numFmtId="0" fontId="39" fillId="22" borderId="42" xfId="0" applyFont="1" applyFill="1" applyBorder="1" applyAlignment="1">
      <alignment horizontal="center"/>
    </xf>
    <xf numFmtId="173" fontId="53" fillId="22" borderId="43" xfId="0" applyNumberFormat="1" applyFont="1" applyFill="1" applyBorder="1" applyAlignment="1">
      <alignment horizontal="right"/>
    </xf>
    <xf numFmtId="173" fontId="53" fillId="22" borderId="0" xfId="0" applyNumberFormat="1" applyFont="1" applyFill="1" applyAlignment="1">
      <alignment horizontal="right"/>
    </xf>
    <xf numFmtId="0" fontId="39" fillId="22" borderId="74" xfId="0" applyFont="1" applyFill="1" applyBorder="1" applyAlignment="1">
      <alignment horizontal="left"/>
    </xf>
    <xf numFmtId="0" fontId="39" fillId="22" borderId="19" xfId="0" applyFont="1" applyFill="1" applyBorder="1" applyAlignment="1">
      <alignment horizontal="left"/>
    </xf>
    <xf numFmtId="0" fontId="39" fillId="22" borderId="31" xfId="0" applyFont="1" applyFill="1" applyBorder="1" applyAlignment="1">
      <alignment horizontal="left"/>
    </xf>
    <xf numFmtId="0" fontId="39" fillId="22" borderId="40" xfId="0" applyFont="1" applyFill="1" applyBorder="1" applyAlignment="1">
      <alignment horizontal="center"/>
    </xf>
    <xf numFmtId="173" fontId="39" fillId="22" borderId="83" xfId="0" applyNumberFormat="1" applyFont="1" applyFill="1" applyBorder="1" applyAlignment="1">
      <alignment horizontal="right"/>
    </xf>
    <xf numFmtId="0" fontId="39" fillId="22" borderId="80" xfId="0" applyFont="1" applyFill="1" applyBorder="1"/>
    <xf numFmtId="0" fontId="117" fillId="22" borderId="47" xfId="0" applyFont="1" applyFill="1" applyBorder="1"/>
    <xf numFmtId="0" fontId="39" fillId="22" borderId="86" xfId="0" applyFont="1" applyFill="1" applyBorder="1" applyAlignment="1">
      <alignment horizontal="left"/>
    </xf>
    <xf numFmtId="0" fontId="120" fillId="22" borderId="87" xfId="0" applyFont="1" applyFill="1" applyBorder="1" applyAlignment="1">
      <alignment vertical="center"/>
    </xf>
    <xf numFmtId="173" fontId="39" fillId="22" borderId="0" xfId="0" applyNumberFormat="1" applyFont="1" applyFill="1" applyAlignment="1">
      <alignment horizontal="right"/>
    </xf>
    <xf numFmtId="0" fontId="39" fillId="22" borderId="31" xfId="0" applyFont="1" applyFill="1" applyBorder="1"/>
    <xf numFmtId="0" fontId="53" fillId="22" borderId="42" xfId="0" applyFont="1" applyFill="1" applyBorder="1" applyAlignment="1">
      <alignment horizontal="center"/>
    </xf>
    <xf numFmtId="0" fontId="39" fillId="22" borderId="79" xfId="0" applyFont="1" applyFill="1" applyBorder="1" applyAlignment="1">
      <alignment vertical="center"/>
    </xf>
    <xf numFmtId="0" fontId="53" fillId="30" borderId="88" xfId="0" applyFont="1" applyFill="1" applyBorder="1" applyAlignment="1">
      <alignment horizontal="left"/>
    </xf>
    <xf numFmtId="0" fontId="53" fillId="30" borderId="89" xfId="0" applyFont="1" applyFill="1" applyBorder="1" applyAlignment="1">
      <alignment horizontal="center"/>
    </xf>
    <xf numFmtId="0" fontId="53" fillId="30" borderId="90" xfId="0" applyFont="1" applyFill="1" applyBorder="1" applyAlignment="1">
      <alignment horizontal="right"/>
    </xf>
    <xf numFmtId="0" fontId="39" fillId="22" borderId="47" xfId="0" applyFont="1" applyFill="1" applyBorder="1" applyAlignment="1">
      <alignment vertical="center"/>
    </xf>
    <xf numFmtId="0" fontId="118" fillId="22" borderId="0" xfId="0" applyFont="1" applyFill="1" applyAlignment="1">
      <alignment horizontal="left"/>
    </xf>
    <xf numFmtId="0" fontId="38" fillId="22" borderId="0" xfId="0" applyFont="1" applyFill="1"/>
    <xf numFmtId="0" fontId="38" fillId="22" borderId="0" xfId="0" applyFont="1" applyFill="1" applyAlignment="1">
      <alignment horizontal="left"/>
    </xf>
    <xf numFmtId="0" fontId="38" fillId="22" borderId="0" xfId="0" applyFont="1" applyFill="1" applyAlignment="1">
      <alignment horizontal="center"/>
    </xf>
    <xf numFmtId="0" fontId="40" fillId="22" borderId="0" xfId="0" applyFont="1" applyFill="1"/>
    <xf numFmtId="0" fontId="40" fillId="22" borderId="0" xfId="0" applyFont="1" applyFill="1" applyAlignment="1">
      <alignment horizontal="center"/>
    </xf>
    <xf numFmtId="0" fontId="40" fillId="22" borderId="0" xfId="0" applyFont="1" applyFill="1" applyAlignment="1">
      <alignment horizontal="right"/>
    </xf>
    <xf numFmtId="0" fontId="40" fillId="22" borderId="0" xfId="0" applyFont="1" applyFill="1" applyAlignment="1">
      <alignment horizontal="left"/>
    </xf>
    <xf numFmtId="0" fontId="38" fillId="22" borderId="0" xfId="0" applyFont="1" applyFill="1" applyAlignment="1">
      <alignment horizontal="right"/>
    </xf>
    <xf numFmtId="0" fontId="11" fillId="19" borderId="13" xfId="0" applyFont="1" applyFill="1" applyBorder="1"/>
    <xf numFmtId="173" fontId="11" fillId="19" borderId="13" xfId="8" applyNumberFormat="1" applyFont="1" applyFill="1" applyBorder="1"/>
    <xf numFmtId="173" fontId="38" fillId="0" borderId="13" xfId="8" applyNumberFormat="1" applyFont="1" applyBorder="1"/>
    <xf numFmtId="0" fontId="11" fillId="19" borderId="13" xfId="0" applyFont="1" applyFill="1" applyBorder="1" applyAlignment="1">
      <alignment horizontal="center"/>
    </xf>
    <xf numFmtId="173" fontId="11" fillId="19" borderId="46" xfId="8" applyNumberFormat="1" applyFont="1" applyFill="1" applyBorder="1"/>
    <xf numFmtId="173" fontId="87" fillId="0" borderId="40" xfId="8" applyNumberFormat="1" applyFont="1" applyBorder="1"/>
    <xf numFmtId="173" fontId="86" fillId="0" borderId="29" xfId="8" applyNumberFormat="1" applyFont="1" applyBorder="1"/>
    <xf numFmtId="0" fontId="86" fillId="0" borderId="36" xfId="0" applyFont="1" applyBorder="1"/>
    <xf numFmtId="0" fontId="117" fillId="22" borderId="19" xfId="0" applyFont="1" applyFill="1" applyBorder="1" applyAlignment="1">
      <alignment vertical="center" wrapText="1"/>
    </xf>
    <xf numFmtId="0" fontId="86" fillId="0" borderId="31" xfId="0" applyFont="1" applyBorder="1" applyAlignment="1">
      <alignment horizontal="left"/>
    </xf>
    <xf numFmtId="173" fontId="87" fillId="0" borderId="32" xfId="8" applyNumberFormat="1" applyFont="1" applyBorder="1"/>
    <xf numFmtId="0" fontId="38" fillId="22" borderId="0" xfId="0" applyFont="1" applyFill="1" applyAlignment="1">
      <alignment horizontal="center" wrapText="1"/>
    </xf>
    <xf numFmtId="173" fontId="86" fillId="19" borderId="13" xfId="8" applyNumberFormat="1" applyFont="1" applyFill="1" applyBorder="1"/>
    <xf numFmtId="0" fontId="86" fillId="32" borderId="13" xfId="0" applyFont="1" applyFill="1" applyBorder="1" applyAlignment="1">
      <alignment horizontal="left"/>
    </xf>
    <xf numFmtId="0" fontId="87" fillId="32" borderId="13" xfId="0" applyFont="1" applyFill="1" applyBorder="1" applyAlignment="1">
      <alignment horizontal="right"/>
    </xf>
    <xf numFmtId="173" fontId="86" fillId="21" borderId="13" xfId="8" applyNumberFormat="1" applyFont="1" applyFill="1" applyBorder="1"/>
    <xf numFmtId="0" fontId="86" fillId="21" borderId="13" xfId="0" applyFont="1" applyFill="1" applyBorder="1"/>
    <xf numFmtId="9" fontId="86" fillId="21" borderId="13" xfId="1" applyFont="1" applyFill="1" applyBorder="1"/>
    <xf numFmtId="9" fontId="86" fillId="19" borderId="13" xfId="1" applyFont="1" applyFill="1" applyBorder="1"/>
    <xf numFmtId="0" fontId="88" fillId="0" borderId="0" xfId="0" applyFont="1" applyAlignment="1">
      <alignment horizontal="left"/>
    </xf>
    <xf numFmtId="0" fontId="86" fillId="19" borderId="13" xfId="0" applyFont="1" applyFill="1" applyBorder="1" applyAlignment="1">
      <alignment horizontal="left"/>
    </xf>
    <xf numFmtId="0" fontId="86" fillId="19" borderId="13" xfId="0" applyFont="1" applyFill="1" applyBorder="1"/>
    <xf numFmtId="9" fontId="87" fillId="19" borderId="13" xfId="0" applyNumberFormat="1" applyFont="1" applyFill="1" applyBorder="1"/>
    <xf numFmtId="0" fontId="86" fillId="21" borderId="13" xfId="0" applyFont="1" applyFill="1" applyBorder="1" applyAlignment="1">
      <alignment horizontal="left"/>
    </xf>
    <xf numFmtId="9" fontId="87" fillId="21" borderId="13" xfId="0" applyNumberFormat="1" applyFont="1" applyFill="1" applyBorder="1"/>
    <xf numFmtId="0" fontId="87" fillId="0" borderId="42" xfId="0" applyFont="1" applyBorder="1"/>
    <xf numFmtId="0" fontId="11" fillId="0" borderId="13" xfId="0" applyFont="1" applyBorder="1" applyAlignment="1">
      <alignment horizontal="center"/>
    </xf>
    <xf numFmtId="0" fontId="7" fillId="0" borderId="13" xfId="0" applyFont="1" applyBorder="1"/>
    <xf numFmtId="3" fontId="1" fillId="0" borderId="0" xfId="9" applyNumberFormat="1"/>
    <xf numFmtId="0" fontId="77" fillId="30" borderId="13" xfId="9" applyFont="1" applyFill="1" applyBorder="1" applyAlignment="1">
      <alignment horizontal="right" vertical="center" wrapText="1"/>
    </xf>
    <xf numFmtId="3" fontId="64" fillId="0" borderId="13" xfId="9" applyNumberFormat="1" applyFont="1" applyBorder="1" applyAlignment="1">
      <alignment vertical="center"/>
    </xf>
    <xf numFmtId="3" fontId="77" fillId="0" borderId="13" xfId="9" applyNumberFormat="1" applyFont="1" applyBorder="1" applyAlignment="1">
      <alignment vertical="center"/>
    </xf>
    <xf numFmtId="3" fontId="64" fillId="20" borderId="13" xfId="9" applyNumberFormat="1" applyFont="1" applyFill="1" applyBorder="1" applyAlignment="1">
      <alignment vertical="center"/>
    </xf>
    <xf numFmtId="3" fontId="1" fillId="20" borderId="13" xfId="9" applyNumberFormat="1" applyFill="1" applyBorder="1" applyAlignment="1">
      <alignment vertical="center"/>
    </xf>
    <xf numFmtId="3" fontId="77" fillId="20" borderId="13" xfId="9" applyNumberFormat="1" applyFont="1" applyFill="1" applyBorder="1" applyAlignment="1">
      <alignment vertical="center"/>
    </xf>
    <xf numFmtId="0" fontId="108" fillId="0" borderId="0" xfId="4" applyFont="1"/>
    <xf numFmtId="0" fontId="12" fillId="30" borderId="13" xfId="9" applyFont="1" applyFill="1" applyBorder="1" applyAlignment="1">
      <alignment horizontal="right"/>
    </xf>
    <xf numFmtId="0" fontId="77" fillId="0" borderId="0" xfId="0" applyFont="1"/>
    <xf numFmtId="0" fontId="29" fillId="0" borderId="0" xfId="0" applyFont="1" applyAlignment="1">
      <alignment horizontal="center"/>
    </xf>
    <xf numFmtId="173" fontId="29" fillId="18" borderId="0" xfId="8" applyNumberFormat="1" applyFont="1" applyFill="1" applyBorder="1" applyAlignment="1">
      <alignment horizontal="right"/>
    </xf>
    <xf numFmtId="0" fontId="87" fillId="30" borderId="16" xfId="0" applyFont="1" applyFill="1" applyBorder="1" applyAlignment="1">
      <alignment horizontal="left"/>
    </xf>
    <xf numFmtId="0" fontId="86" fillId="0" borderId="74" xfId="0" applyFont="1" applyBorder="1" applyAlignment="1">
      <alignment horizontal="left"/>
    </xf>
    <xf numFmtId="173" fontId="86" fillId="0" borderId="23" xfId="8" applyNumberFormat="1" applyFont="1" applyBorder="1"/>
    <xf numFmtId="173" fontId="86" fillId="0" borderId="45" xfId="8" applyNumberFormat="1" applyFont="1" applyBorder="1"/>
    <xf numFmtId="0" fontId="87" fillId="30" borderId="17" xfId="0" applyFont="1" applyFill="1" applyBorder="1"/>
    <xf numFmtId="173" fontId="87" fillId="30" borderId="17" xfId="8" applyNumberFormat="1" applyFont="1" applyFill="1" applyBorder="1" applyAlignment="1">
      <alignment horizontal="right"/>
    </xf>
    <xf numFmtId="0" fontId="87" fillId="30" borderId="17" xfId="0" applyFont="1" applyFill="1" applyBorder="1" applyAlignment="1">
      <alignment horizontal="right"/>
    </xf>
    <xf numFmtId="0" fontId="87" fillId="30" borderId="18" xfId="0" applyFont="1" applyFill="1" applyBorder="1" applyAlignment="1">
      <alignment horizontal="right"/>
    </xf>
    <xf numFmtId="0" fontId="86" fillId="30" borderId="24" xfId="0" applyFont="1" applyFill="1" applyBorder="1" applyAlignment="1">
      <alignment horizontal="left"/>
    </xf>
    <xf numFmtId="0" fontId="86" fillId="30" borderId="21" xfId="0" applyFont="1" applyFill="1" applyBorder="1" applyAlignment="1">
      <alignment horizontal="right"/>
    </xf>
    <xf numFmtId="0" fontId="86" fillId="30" borderId="25" xfId="0" applyFont="1" applyFill="1" applyBorder="1"/>
    <xf numFmtId="173" fontId="86" fillId="0" borderId="40" xfId="8" applyNumberFormat="1" applyFont="1" applyBorder="1"/>
    <xf numFmtId="0" fontId="87" fillId="0" borderId="41" xfId="0" applyFont="1" applyBorder="1" applyAlignment="1">
      <alignment horizontal="left"/>
    </xf>
    <xf numFmtId="173" fontId="87" fillId="0" borderId="42" xfId="0" applyNumberFormat="1" applyFont="1" applyBorder="1"/>
    <xf numFmtId="173" fontId="11" fillId="0" borderId="13" xfId="8" applyNumberFormat="1" applyFont="1" applyBorder="1" applyAlignment="1">
      <alignment horizontal="right"/>
    </xf>
    <xf numFmtId="173" fontId="11" fillId="0" borderId="13" xfId="8" applyNumberFormat="1" applyFont="1" applyBorder="1" applyAlignment="1">
      <alignment horizontal="center"/>
    </xf>
    <xf numFmtId="0" fontId="87" fillId="0" borderId="88" xfId="0" applyFont="1" applyBorder="1" applyAlignment="1">
      <alignment horizontal="left"/>
    </xf>
    <xf numFmtId="0" fontId="87" fillId="0" borderId="89" xfId="0" applyFont="1" applyBorder="1"/>
    <xf numFmtId="173" fontId="87" fillId="0" borderId="89" xfId="0" applyNumberFormat="1" applyFont="1" applyBorder="1"/>
    <xf numFmtId="173" fontId="87" fillId="0" borderId="90" xfId="0" applyNumberFormat="1" applyFont="1" applyBorder="1"/>
    <xf numFmtId="9" fontId="87" fillId="0" borderId="42" xfId="1" applyFont="1" applyBorder="1"/>
    <xf numFmtId="9" fontId="87" fillId="19" borderId="43" xfId="1" applyFont="1" applyFill="1" applyBorder="1"/>
    <xf numFmtId="0" fontId="3" fillId="31" borderId="13" xfId="0" applyFont="1" applyFill="1" applyBorder="1" applyAlignment="1">
      <alignment horizontal="right"/>
    </xf>
    <xf numFmtId="173" fontId="11" fillId="31" borderId="13" xfId="8" applyNumberFormat="1" applyFont="1" applyFill="1" applyBorder="1" applyAlignment="1">
      <alignment horizontal="right"/>
    </xf>
    <xf numFmtId="173" fontId="29" fillId="31" borderId="13" xfId="8" applyNumberFormat="1" applyFont="1" applyFill="1" applyBorder="1" applyAlignment="1">
      <alignment horizontal="right"/>
    </xf>
    <xf numFmtId="173" fontId="29" fillId="0" borderId="0" xfId="8" applyNumberFormat="1" applyFont="1" applyFill="1" applyBorder="1"/>
    <xf numFmtId="0" fontId="0" fillId="0" borderId="95" xfId="0" applyBorder="1"/>
    <xf numFmtId="0" fontId="0" fillId="0" borderId="78" xfId="0" applyBorder="1"/>
    <xf numFmtId="0" fontId="0" fillId="0" borderId="97" xfId="0" applyBorder="1"/>
    <xf numFmtId="173" fontId="0" fillId="0" borderId="20" xfId="8" applyNumberFormat="1" applyFont="1" applyBorder="1"/>
    <xf numFmtId="0" fontId="0" fillId="18" borderId="80" xfId="0" applyFill="1" applyBorder="1"/>
    <xf numFmtId="0" fontId="29" fillId="18" borderId="84" xfId="0" applyFont="1" applyFill="1" applyBorder="1"/>
    <xf numFmtId="173" fontId="29" fillId="18" borderId="98" xfId="8" applyNumberFormat="1" applyFont="1" applyFill="1" applyBorder="1"/>
    <xf numFmtId="173" fontId="29" fillId="18" borderId="93" xfId="8" applyNumberFormat="1" applyFont="1" applyFill="1" applyBorder="1"/>
    <xf numFmtId="0" fontId="7" fillId="19" borderId="76" xfId="0" applyFont="1" applyFill="1" applyBorder="1"/>
    <xf numFmtId="0" fontId="7" fillId="19" borderId="77" xfId="0" applyFont="1" applyFill="1" applyBorder="1"/>
    <xf numFmtId="0" fontId="7" fillId="19" borderId="89" xfId="0" applyFont="1" applyFill="1" applyBorder="1" applyAlignment="1">
      <alignment horizontal="right"/>
    </xf>
    <xf numFmtId="0" fontId="7" fillId="19" borderId="90" xfId="0" applyFont="1" applyFill="1" applyBorder="1" applyAlignment="1">
      <alignment horizontal="right"/>
    </xf>
    <xf numFmtId="173" fontId="0" fillId="0" borderId="13" xfId="0" applyNumberFormat="1" applyBorder="1"/>
    <xf numFmtId="0" fontId="29" fillId="21" borderId="26" xfId="0" applyFont="1" applyFill="1" applyBorder="1"/>
    <xf numFmtId="0" fontId="0" fillId="21" borderId="27" xfId="0" applyFill="1" applyBorder="1"/>
    <xf numFmtId="173" fontId="0" fillId="21" borderId="27" xfId="8" applyNumberFormat="1" applyFont="1" applyFill="1" applyBorder="1"/>
    <xf numFmtId="173" fontId="0" fillId="21" borderId="99" xfId="8" applyNumberFormat="1" applyFont="1" applyFill="1" applyBorder="1"/>
    <xf numFmtId="0" fontId="3" fillId="0" borderId="40" xfId="0" applyFont="1" applyBorder="1"/>
    <xf numFmtId="0" fontId="0" fillId="0" borderId="40" xfId="0" applyBorder="1"/>
    <xf numFmtId="0" fontId="0" fillId="0" borderId="86" xfId="0" applyBorder="1"/>
    <xf numFmtId="0" fontId="7" fillId="0" borderId="100" xfId="0" applyFont="1" applyBorder="1"/>
    <xf numFmtId="0" fontId="0" fillId="0" borderId="61" xfId="0" applyBorder="1"/>
    <xf numFmtId="173" fontId="29" fillId="0" borderId="94" xfId="0" applyNumberFormat="1" applyFont="1" applyBorder="1"/>
    <xf numFmtId="173" fontId="29" fillId="0" borderId="43" xfId="0" applyNumberFormat="1" applyFont="1" applyBorder="1"/>
    <xf numFmtId="0" fontId="1" fillId="30" borderId="16" xfId="9" applyFill="1" applyBorder="1"/>
    <xf numFmtId="0" fontId="12" fillId="30" borderId="17" xfId="9" applyFont="1" applyFill="1" applyBorder="1" applyAlignment="1">
      <alignment horizontal="right"/>
    </xf>
    <xf numFmtId="0" fontId="12" fillId="30" borderId="18" xfId="9" applyFont="1" applyFill="1" applyBorder="1" applyAlignment="1">
      <alignment horizontal="right"/>
    </xf>
    <xf numFmtId="0" fontId="1" fillId="30" borderId="19" xfId="9" applyFill="1" applyBorder="1"/>
    <xf numFmtId="0" fontId="12" fillId="30" borderId="20" xfId="9" applyFont="1" applyFill="1" applyBorder="1" applyAlignment="1">
      <alignment horizontal="right"/>
    </xf>
    <xf numFmtId="0" fontId="1" fillId="0" borderId="19" xfId="9" applyBorder="1"/>
    <xf numFmtId="173" fontId="1" fillId="0" borderId="20" xfId="8" applyNumberFormat="1" applyFont="1" applyBorder="1"/>
    <xf numFmtId="0" fontId="1" fillId="0" borderId="20" xfId="9" applyBorder="1"/>
    <xf numFmtId="0" fontId="12" fillId="0" borderId="20" xfId="9" applyFont="1" applyBorder="1"/>
    <xf numFmtId="0" fontId="1" fillId="0" borderId="24" xfId="9" applyBorder="1"/>
    <xf numFmtId="0" fontId="12" fillId="33" borderId="16" xfId="4" applyFont="1" applyFill="1" applyBorder="1" applyAlignment="1">
      <alignment horizontal="left" wrapText="1"/>
    </xf>
    <xf numFmtId="0" fontId="12" fillId="33" borderId="17" xfId="4" applyFont="1" applyFill="1" applyBorder="1" applyAlignment="1">
      <alignment horizontal="center" wrapText="1"/>
    </xf>
    <xf numFmtId="0" fontId="12" fillId="33" borderId="18" xfId="4" applyFont="1" applyFill="1" applyBorder="1" applyAlignment="1">
      <alignment horizontal="center" wrapText="1"/>
    </xf>
    <xf numFmtId="0" fontId="106" fillId="0" borderId="19" xfId="4" applyFont="1" applyBorder="1"/>
    <xf numFmtId="0" fontId="105" fillId="0" borderId="19" xfId="4" applyFont="1" applyBorder="1" applyAlignment="1">
      <alignment horizontal="left" wrapText="1"/>
    </xf>
    <xf numFmtId="0" fontId="105" fillId="0" borderId="24" xfId="4" applyFont="1" applyBorder="1"/>
    <xf numFmtId="0" fontId="12" fillId="30" borderId="16" xfId="9" applyFont="1" applyFill="1" applyBorder="1"/>
    <xf numFmtId="0" fontId="64" fillId="30" borderId="19" xfId="9" applyFont="1" applyFill="1" applyBorder="1" applyAlignment="1">
      <alignment vertical="center"/>
    </xf>
    <xf numFmtId="0" fontId="77" fillId="30" borderId="20" xfId="9" applyFont="1" applyFill="1" applyBorder="1" applyAlignment="1">
      <alignment horizontal="right" vertical="center" wrapText="1"/>
    </xf>
    <xf numFmtId="0" fontId="77" fillId="0" borderId="19" xfId="9" applyFont="1" applyBorder="1" applyAlignment="1">
      <alignment vertical="center"/>
    </xf>
    <xf numFmtId="3" fontId="64" fillId="20" borderId="20" xfId="9" applyNumberFormat="1" applyFont="1" applyFill="1" applyBorder="1" applyAlignment="1">
      <alignment vertical="center"/>
    </xf>
    <xf numFmtId="0" fontId="64" fillId="0" borderId="19" xfId="9" applyFont="1" applyBorder="1" applyAlignment="1">
      <alignment vertical="center"/>
    </xf>
    <xf numFmtId="3" fontId="77" fillId="20" borderId="20" xfId="9" applyNumberFormat="1" applyFont="1" applyFill="1" applyBorder="1" applyAlignment="1">
      <alignment vertical="center"/>
    </xf>
    <xf numFmtId="0" fontId="107" fillId="0" borderId="24" xfId="9" applyFont="1" applyBorder="1"/>
    <xf numFmtId="3" fontId="107" fillId="20" borderId="21" xfId="9" applyNumberFormat="1" applyFont="1" applyFill="1" applyBorder="1"/>
    <xf numFmtId="4" fontId="107" fillId="20" borderId="21" xfId="9" applyNumberFormat="1" applyFont="1" applyFill="1" applyBorder="1"/>
    <xf numFmtId="3" fontId="107" fillId="0" borderId="21" xfId="9" applyNumberFormat="1" applyFont="1" applyBorder="1"/>
    <xf numFmtId="3" fontId="107" fillId="20" borderId="25" xfId="9" applyNumberFormat="1" applyFont="1" applyFill="1" applyBorder="1"/>
    <xf numFmtId="0" fontId="0" fillId="0" borderId="17" xfId="0" applyBorder="1"/>
    <xf numFmtId="0" fontId="38" fillId="0" borderId="18" xfId="2" applyFont="1" applyBorder="1" applyAlignment="1">
      <alignment horizontal="right"/>
    </xf>
    <xf numFmtId="6" fontId="38" fillId="0" borderId="79" xfId="2" applyNumberFormat="1" applyFont="1" applyBorder="1"/>
    <xf numFmtId="43" fontId="29" fillId="0" borderId="20" xfId="8" applyFont="1" applyBorder="1" applyAlignment="1">
      <alignment horizontal="right"/>
    </xf>
    <xf numFmtId="0" fontId="29" fillId="0" borderId="16" xfId="0" applyFont="1" applyBorder="1"/>
    <xf numFmtId="0" fontId="38" fillId="0" borderId="17" xfId="2" applyFont="1" applyBorder="1"/>
    <xf numFmtId="43" fontId="0" fillId="0" borderId="19" xfId="8" applyFont="1" applyBorder="1"/>
    <xf numFmtId="0" fontId="29" fillId="0" borderId="24" xfId="0" applyFont="1" applyBorder="1"/>
    <xf numFmtId="0" fontId="38" fillId="0" borderId="21" xfId="2" applyFont="1" applyBorder="1"/>
    <xf numFmtId="0" fontId="57" fillId="30" borderId="13" xfId="2" applyFont="1" applyFill="1" applyBorder="1" applyAlignment="1">
      <alignment horizontal="right"/>
    </xf>
    <xf numFmtId="0" fontId="121" fillId="0" borderId="0" xfId="9" applyFont="1"/>
    <xf numFmtId="165" fontId="1" fillId="0" borderId="0" xfId="9" applyNumberFormat="1"/>
    <xf numFmtId="0" fontId="12" fillId="22" borderId="48" xfId="10" applyFont="1" applyFill="1" applyBorder="1"/>
    <xf numFmtId="17" fontId="12" fillId="22" borderId="49" xfId="10" applyNumberFormat="1" applyFont="1" applyFill="1" applyBorder="1" applyAlignment="1">
      <alignment horizontal="center" vertical="center"/>
    </xf>
    <xf numFmtId="17" fontId="12" fillId="0" borderId="49" xfId="9" applyNumberFormat="1" applyFont="1" applyBorder="1"/>
    <xf numFmtId="17" fontId="122" fillId="0" borderId="49" xfId="9" applyNumberFormat="1" applyFont="1" applyBorder="1"/>
    <xf numFmtId="0" fontId="12" fillId="22" borderId="50" xfId="10" applyFont="1" applyFill="1" applyBorder="1"/>
    <xf numFmtId="165" fontId="1" fillId="22" borderId="51" xfId="11" applyFont="1" applyFill="1" applyBorder="1"/>
    <xf numFmtId="165" fontId="1" fillId="0" borderId="51" xfId="11" applyFont="1" applyBorder="1"/>
    <xf numFmtId="165" fontId="121" fillId="0" borderId="51" xfId="11" applyFont="1" applyBorder="1"/>
    <xf numFmtId="0" fontId="12" fillId="22" borderId="52" xfId="10" applyFont="1" applyFill="1" applyBorder="1"/>
    <xf numFmtId="165" fontId="1" fillId="22" borderId="53" xfId="11" applyFont="1" applyFill="1" applyBorder="1"/>
    <xf numFmtId="165" fontId="1" fillId="0" borderId="53" xfId="11" applyFont="1" applyBorder="1"/>
    <xf numFmtId="165" fontId="121" fillId="0" borderId="53" xfId="11" applyFont="1" applyBorder="1"/>
    <xf numFmtId="0" fontId="12" fillId="22" borderId="54" xfId="10" applyFont="1" applyFill="1" applyBorder="1"/>
    <xf numFmtId="165" fontId="1" fillId="22" borderId="55" xfId="11" applyFont="1" applyFill="1" applyBorder="1"/>
    <xf numFmtId="165" fontId="1" fillId="0" borderId="55" xfId="11" applyFont="1" applyBorder="1"/>
    <xf numFmtId="165" fontId="121" fillId="0" borderId="55" xfId="11" applyFont="1" applyBorder="1"/>
    <xf numFmtId="0" fontId="12" fillId="22" borderId="56" xfId="10" applyFont="1" applyFill="1" applyBorder="1"/>
    <xf numFmtId="165" fontId="12" fillId="22" borderId="57" xfId="11" applyFont="1" applyFill="1" applyBorder="1"/>
    <xf numFmtId="165" fontId="122" fillId="22" borderId="57" xfId="11" applyFont="1" applyFill="1" applyBorder="1"/>
    <xf numFmtId="165" fontId="1" fillId="0" borderId="0" xfId="11" applyFont="1"/>
    <xf numFmtId="10" fontId="1" fillId="22" borderId="51" xfId="12" applyNumberFormat="1" applyFont="1" applyFill="1" applyBorder="1"/>
    <xf numFmtId="10" fontId="1" fillId="0" borderId="51" xfId="12" applyNumberFormat="1" applyFont="1" applyFill="1" applyBorder="1"/>
    <xf numFmtId="10" fontId="1" fillId="0" borderId="51" xfId="12" applyNumberFormat="1" applyFont="1" applyBorder="1"/>
    <xf numFmtId="10" fontId="121" fillId="0" borderId="51" xfId="12" applyNumberFormat="1" applyFont="1" applyBorder="1"/>
    <xf numFmtId="10" fontId="1" fillId="22" borderId="53" xfId="12" applyNumberFormat="1" applyFont="1" applyFill="1" applyBorder="1"/>
    <xf numFmtId="10" fontId="1" fillId="0" borderId="53" xfId="12" applyNumberFormat="1" applyFont="1" applyFill="1" applyBorder="1"/>
    <xf numFmtId="10" fontId="1" fillId="0" borderId="53" xfId="12" applyNumberFormat="1" applyFont="1" applyBorder="1"/>
    <xf numFmtId="10" fontId="121" fillId="0" borderId="53" xfId="12" applyNumberFormat="1" applyFont="1" applyBorder="1"/>
    <xf numFmtId="10" fontId="1" fillId="22" borderId="55" xfId="12" applyNumberFormat="1" applyFont="1" applyFill="1" applyBorder="1"/>
    <xf numFmtId="10" fontId="1" fillId="0" borderId="55" xfId="12" applyNumberFormat="1" applyFont="1" applyFill="1" applyBorder="1"/>
    <xf numFmtId="10" fontId="1" fillId="0" borderId="55" xfId="12" applyNumberFormat="1" applyFont="1" applyBorder="1"/>
    <xf numFmtId="10" fontId="121" fillId="0" borderId="55" xfId="12" applyNumberFormat="1" applyFont="1" applyBorder="1"/>
    <xf numFmtId="165" fontId="121" fillId="0" borderId="0" xfId="11" applyFont="1"/>
    <xf numFmtId="0" fontId="12" fillId="0" borderId="58" xfId="9" applyFont="1" applyBorder="1"/>
    <xf numFmtId="17" fontId="12" fillId="22" borderId="59" xfId="10" applyNumberFormat="1" applyFont="1" applyFill="1" applyBorder="1" applyAlignment="1">
      <alignment horizontal="center" vertical="center"/>
    </xf>
    <xf numFmtId="17" fontId="12" fillId="22" borderId="60" xfId="10" applyNumberFormat="1" applyFont="1" applyFill="1" applyBorder="1" applyAlignment="1">
      <alignment horizontal="center" vertical="center"/>
    </xf>
    <xf numFmtId="17" fontId="12" fillId="0" borderId="60" xfId="9" applyNumberFormat="1" applyFont="1" applyBorder="1"/>
    <xf numFmtId="17" fontId="122" fillId="0" borderId="60" xfId="9" applyNumberFormat="1" applyFont="1" applyBorder="1"/>
    <xf numFmtId="0" fontId="1" fillId="0" borderId="61" xfId="9" applyBorder="1"/>
    <xf numFmtId="0" fontId="12" fillId="0" borderId="62" xfId="9" applyFont="1" applyBorder="1"/>
    <xf numFmtId="165" fontId="1" fillId="0" borderId="63" xfId="11" applyFont="1" applyBorder="1"/>
    <xf numFmtId="165" fontId="1" fillId="0" borderId="64" xfId="11" applyFont="1" applyBorder="1"/>
    <xf numFmtId="165" fontId="121" fillId="0" borderId="64" xfId="11" applyFont="1" applyBorder="1"/>
    <xf numFmtId="165" fontId="1" fillId="0" borderId="65" xfId="11" applyFont="1" applyBorder="1"/>
    <xf numFmtId="0" fontId="12" fillId="0" borderId="52" xfId="9" applyFont="1" applyBorder="1"/>
    <xf numFmtId="165" fontId="1" fillId="0" borderId="66" xfId="11" applyFont="1" applyBorder="1"/>
    <xf numFmtId="165" fontId="1" fillId="0" borderId="67" xfId="11" applyFont="1" applyBorder="1"/>
    <xf numFmtId="0" fontId="12" fillId="9" borderId="52" xfId="9" applyFont="1" applyFill="1" applyBorder="1"/>
    <xf numFmtId="165" fontId="1" fillId="9" borderId="66" xfId="11" applyFont="1" applyFill="1" applyBorder="1"/>
    <xf numFmtId="165" fontId="1" fillId="9" borderId="53" xfId="11" applyFont="1" applyFill="1" applyBorder="1"/>
    <xf numFmtId="165" fontId="121" fillId="9" borderId="53" xfId="11" applyFont="1" applyFill="1" applyBorder="1"/>
    <xf numFmtId="165" fontId="1" fillId="9" borderId="67" xfId="11" applyFont="1" applyFill="1" applyBorder="1"/>
    <xf numFmtId="0" fontId="1" fillId="9" borderId="0" xfId="9" applyFill="1"/>
    <xf numFmtId="0" fontId="1" fillId="0" borderId="68" xfId="9" applyBorder="1"/>
    <xf numFmtId="0" fontId="12" fillId="0" borderId="54" xfId="9" applyFont="1" applyBorder="1"/>
    <xf numFmtId="165" fontId="1" fillId="0" borderId="69" xfId="9" applyNumberFormat="1" applyBorder="1"/>
    <xf numFmtId="165" fontId="1" fillId="0" borderId="55" xfId="9" applyNumberFormat="1" applyBorder="1"/>
    <xf numFmtId="165" fontId="1" fillId="0" borderId="70" xfId="9" applyNumberFormat="1" applyBorder="1"/>
    <xf numFmtId="0" fontId="12" fillId="0" borderId="50" xfId="9" applyFont="1" applyBorder="1"/>
    <xf numFmtId="174" fontId="1" fillId="0" borderId="71" xfId="11" applyNumberFormat="1" applyFont="1" applyBorder="1"/>
    <xf numFmtId="174" fontId="1" fillId="0" borderId="51" xfId="11" applyNumberFormat="1" applyFont="1" applyBorder="1"/>
    <xf numFmtId="174" fontId="121" fillId="0" borderId="51" xfId="11" applyNumberFormat="1" applyFont="1" applyBorder="1"/>
    <xf numFmtId="0" fontId="1" fillId="0" borderId="51" xfId="9" applyBorder="1"/>
    <xf numFmtId="0" fontId="121" fillId="0" borderId="51" xfId="9" applyFont="1" applyBorder="1"/>
    <xf numFmtId="0" fontId="1" fillId="0" borderId="72" xfId="9" applyBorder="1"/>
    <xf numFmtId="174" fontId="1" fillId="0" borderId="66" xfId="11" applyNumberFormat="1" applyFont="1" applyBorder="1"/>
    <xf numFmtId="174" fontId="1" fillId="0" borderId="53" xfId="11" applyNumberFormat="1" applyFont="1" applyBorder="1"/>
    <xf numFmtId="174" fontId="121" fillId="0" borderId="53" xfId="11" applyNumberFormat="1" applyFont="1" applyBorder="1"/>
    <xf numFmtId="0" fontId="1" fillId="0" borderId="53" xfId="9" applyBorder="1"/>
    <xf numFmtId="0" fontId="121" fillId="0" borderId="53" xfId="9" applyFont="1" applyBorder="1"/>
    <xf numFmtId="0" fontId="1" fillId="0" borderId="67" xfId="9" applyBorder="1"/>
    <xf numFmtId="174" fontId="1" fillId="0" borderId="69" xfId="11" applyNumberFormat="1" applyFont="1" applyBorder="1"/>
    <xf numFmtId="174" fontId="1" fillId="0" borderId="55" xfId="11" applyNumberFormat="1" applyFont="1" applyBorder="1"/>
    <xf numFmtId="174" fontId="121" fillId="0" borderId="55" xfId="11" applyNumberFormat="1" applyFont="1" applyBorder="1"/>
    <xf numFmtId="0" fontId="1" fillId="0" borderId="55" xfId="9" applyBorder="1"/>
    <xf numFmtId="0" fontId="121" fillId="0" borderId="55" xfId="9" applyFont="1" applyBorder="1"/>
    <xf numFmtId="0" fontId="1" fillId="0" borderId="70" xfId="9" applyBorder="1"/>
    <xf numFmtId="174" fontId="1" fillId="0" borderId="0" xfId="11" applyNumberFormat="1" applyFont="1"/>
    <xf numFmtId="43" fontId="1" fillId="0" borderId="0" xfId="9" applyNumberFormat="1"/>
    <xf numFmtId="173" fontId="1" fillId="0" borderId="0" xfId="8" applyNumberFormat="1" applyFont="1"/>
    <xf numFmtId="173" fontId="1" fillId="0" borderId="0" xfId="8" applyNumberFormat="1" applyFont="1" applyBorder="1"/>
    <xf numFmtId="0" fontId="12" fillId="0" borderId="77" xfId="9" applyFont="1" applyBorder="1"/>
    <xf numFmtId="173" fontId="1" fillId="0" borderId="84" xfId="8" applyNumberFormat="1" applyFont="1" applyBorder="1"/>
    <xf numFmtId="0" fontId="12" fillId="0" borderId="16" xfId="9" applyFont="1" applyBorder="1"/>
    <xf numFmtId="0" fontId="12" fillId="0" borderId="17" xfId="9" applyFont="1" applyBorder="1"/>
    <xf numFmtId="0" fontId="12" fillId="0" borderId="18" xfId="9" applyFont="1" applyBorder="1"/>
    <xf numFmtId="173" fontId="1" fillId="0" borderId="19" xfId="8" applyNumberFormat="1" applyFont="1" applyBorder="1"/>
    <xf numFmtId="173" fontId="1" fillId="0" borderId="24" xfId="8" applyNumberFormat="1" applyFont="1" applyBorder="1"/>
    <xf numFmtId="173" fontId="1" fillId="0" borderId="21" xfId="8" applyNumberFormat="1" applyFont="1" applyBorder="1"/>
    <xf numFmtId="173" fontId="1" fillId="0" borderId="25" xfId="8" applyNumberFormat="1" applyFont="1" applyBorder="1"/>
    <xf numFmtId="0" fontId="1" fillId="0" borderId="16" xfId="9" applyBorder="1"/>
    <xf numFmtId="0" fontId="12" fillId="19" borderId="17" xfId="9" applyFont="1" applyFill="1" applyBorder="1"/>
    <xf numFmtId="0" fontId="12" fillId="19" borderId="18" xfId="9" applyFont="1" applyFill="1" applyBorder="1"/>
    <xf numFmtId="173" fontId="1" fillId="19" borderId="13" xfId="8" applyNumberFormat="1" applyFont="1" applyFill="1" applyBorder="1"/>
    <xf numFmtId="173" fontId="1" fillId="19" borderId="20" xfId="8" applyNumberFormat="1" applyFont="1" applyFill="1" applyBorder="1"/>
    <xf numFmtId="173" fontId="1" fillId="19" borderId="21" xfId="8" applyNumberFormat="1" applyFont="1" applyFill="1" applyBorder="1"/>
    <xf numFmtId="173" fontId="1" fillId="19" borderId="25" xfId="8" applyNumberFormat="1" applyFont="1" applyFill="1" applyBorder="1"/>
    <xf numFmtId="0" fontId="12" fillId="19" borderId="16" xfId="9" applyFont="1" applyFill="1" applyBorder="1"/>
    <xf numFmtId="173" fontId="1" fillId="19" borderId="19" xfId="8" applyNumberFormat="1" applyFont="1" applyFill="1" applyBorder="1"/>
    <xf numFmtId="173" fontId="1" fillId="19" borderId="24" xfId="8" applyNumberFormat="1" applyFont="1" applyFill="1" applyBorder="1"/>
    <xf numFmtId="0" fontId="7" fillId="19" borderId="78" xfId="0" applyFont="1" applyFill="1" applyBorder="1"/>
    <xf numFmtId="0" fontId="7" fillId="19" borderId="0" xfId="0" applyFont="1" applyFill="1"/>
    <xf numFmtId="0" fontId="7" fillId="19" borderId="101" xfId="0" applyFont="1" applyFill="1" applyBorder="1" applyAlignment="1">
      <alignment horizontal="right"/>
    </xf>
    <xf numFmtId="0" fontId="7" fillId="19" borderId="102" xfId="0" applyFont="1" applyFill="1" applyBorder="1" applyAlignment="1">
      <alignment horizontal="right"/>
    </xf>
    <xf numFmtId="0" fontId="12" fillId="0" borderId="0" xfId="10" applyFont="1" applyAlignment="1">
      <alignment horizontal="center" vertical="center"/>
    </xf>
    <xf numFmtId="0" fontId="1" fillId="0" borderId="0" xfId="10" applyAlignment="1">
      <alignment vertical="center"/>
    </xf>
    <xf numFmtId="0" fontId="12" fillId="0" borderId="13" xfId="10" applyFont="1" applyBorder="1" applyAlignment="1">
      <alignment horizontal="center" vertical="center"/>
    </xf>
    <xf numFmtId="0" fontId="1" fillId="0" borderId="13" xfId="10" applyBorder="1" applyAlignment="1">
      <alignment horizontal="center" vertical="center"/>
    </xf>
    <xf numFmtId="0" fontId="1" fillId="0" borderId="13" xfId="10" applyBorder="1" applyAlignment="1">
      <alignment vertical="center" wrapText="1"/>
    </xf>
    <xf numFmtId="165" fontId="1" fillId="0" borderId="13" xfId="11" applyFont="1" applyBorder="1" applyAlignment="1">
      <alignment vertical="center"/>
    </xf>
    <xf numFmtId="175" fontId="1" fillId="0" borderId="0" xfId="10" applyNumberFormat="1" applyAlignment="1">
      <alignment vertical="center"/>
    </xf>
    <xf numFmtId="0" fontId="1" fillId="20" borderId="13" xfId="10" applyFill="1" applyBorder="1" applyAlignment="1">
      <alignment horizontal="center" vertical="center"/>
    </xf>
    <xf numFmtId="0" fontId="1" fillId="20" borderId="13" xfId="10" applyFill="1" applyBorder="1" applyAlignment="1">
      <alignment vertical="center" wrapText="1"/>
    </xf>
    <xf numFmtId="165" fontId="1" fillId="20" borderId="13" xfId="11" applyFont="1" applyFill="1" applyBorder="1" applyAlignment="1">
      <alignment vertical="center"/>
    </xf>
    <xf numFmtId="0" fontId="1" fillId="0" borderId="40" xfId="10" applyBorder="1" applyAlignment="1">
      <alignment vertical="center" wrapText="1"/>
    </xf>
    <xf numFmtId="165" fontId="1" fillId="0" borderId="40" xfId="11" applyFont="1" applyBorder="1" applyAlignment="1">
      <alignment vertical="center"/>
    </xf>
    <xf numFmtId="0" fontId="1" fillId="0" borderId="13" xfId="10" applyBorder="1" applyAlignment="1">
      <alignment horizontal="justify" vertical="center"/>
    </xf>
    <xf numFmtId="0" fontId="1" fillId="0" borderId="13" xfId="10" applyBorder="1" applyAlignment="1">
      <alignment vertical="center"/>
    </xf>
    <xf numFmtId="165" fontId="12" fillId="0" borderId="13" xfId="11" applyFont="1" applyBorder="1" applyAlignment="1">
      <alignment vertical="center"/>
    </xf>
    <xf numFmtId="165" fontId="1" fillId="0" borderId="0" xfId="11" applyFont="1" applyAlignment="1">
      <alignment vertical="center"/>
    </xf>
    <xf numFmtId="0" fontId="1" fillId="0" borderId="0" xfId="10" applyAlignment="1">
      <alignment horizontal="left" vertical="center"/>
    </xf>
    <xf numFmtId="0" fontId="1" fillId="0" borderId="13" xfId="10" applyBorder="1" applyAlignment="1">
      <alignment horizontal="left" vertical="center"/>
    </xf>
    <xf numFmtId="0" fontId="1" fillId="0" borderId="19" xfId="10" applyBorder="1" applyAlignment="1">
      <alignment horizontal="left" vertical="center"/>
    </xf>
    <xf numFmtId="0" fontId="12" fillId="30" borderId="16" xfId="10" applyFont="1" applyFill="1" applyBorder="1" applyAlignment="1">
      <alignment horizontal="left" vertical="center"/>
    </xf>
    <xf numFmtId="0" fontId="12" fillId="30" borderId="17" xfId="10" applyFont="1" applyFill="1" applyBorder="1" applyAlignment="1">
      <alignment horizontal="left" vertical="center"/>
    </xf>
    <xf numFmtId="173" fontId="1" fillId="0" borderId="20" xfId="8" applyNumberFormat="1" applyFont="1" applyBorder="1" applyAlignment="1">
      <alignment horizontal="left" vertical="center"/>
    </xf>
    <xf numFmtId="0" fontId="12" fillId="30" borderId="18" xfId="10" applyFont="1" applyFill="1" applyBorder="1" applyAlignment="1">
      <alignment horizontal="right" vertical="center"/>
    </xf>
    <xf numFmtId="0" fontId="12" fillId="30" borderId="41" xfId="10" applyFont="1" applyFill="1" applyBorder="1" applyAlignment="1">
      <alignment horizontal="left" vertical="center"/>
    </xf>
    <xf numFmtId="0" fontId="12" fillId="30" borderId="42" xfId="10" applyFont="1" applyFill="1" applyBorder="1" applyAlignment="1">
      <alignment horizontal="left" vertical="center"/>
    </xf>
    <xf numFmtId="173" fontId="12" fillId="30" borderId="43" xfId="8" applyNumberFormat="1" applyFont="1" applyFill="1" applyBorder="1" applyAlignment="1">
      <alignment horizontal="left" vertical="center"/>
    </xf>
    <xf numFmtId="0" fontId="12" fillId="0" borderId="0" xfId="10" applyFont="1" applyAlignment="1">
      <alignment horizontal="left" vertical="center"/>
    </xf>
    <xf numFmtId="0" fontId="125" fillId="0" borderId="0" xfId="0" applyFont="1"/>
    <xf numFmtId="0" fontId="126" fillId="0" borderId="0" xfId="2" applyFont="1"/>
    <xf numFmtId="0" fontId="125" fillId="0" borderId="0" xfId="0" applyFont="1" applyAlignment="1">
      <alignment horizontal="left"/>
    </xf>
    <xf numFmtId="0" fontId="127" fillId="0" borderId="0" xfId="0" applyFont="1" applyAlignment="1">
      <alignment horizontal="left"/>
    </xf>
    <xf numFmtId="0" fontId="128" fillId="0" borderId="0" xfId="0" applyFont="1"/>
    <xf numFmtId="0" fontId="129" fillId="0" borderId="0" xfId="2" applyFont="1"/>
    <xf numFmtId="0" fontId="130" fillId="0" borderId="0" xfId="2" applyFont="1"/>
    <xf numFmtId="0" fontId="129" fillId="0" borderId="76" xfId="2" applyFont="1" applyBorder="1"/>
    <xf numFmtId="0" fontId="129" fillId="18" borderId="77" xfId="2" applyFont="1" applyFill="1" applyBorder="1"/>
    <xf numFmtId="0" fontId="129" fillId="18" borderId="28" xfId="2" applyFont="1" applyFill="1" applyBorder="1"/>
    <xf numFmtId="0" fontId="129" fillId="0" borderId="78" xfId="2" applyFont="1" applyBorder="1"/>
    <xf numFmtId="0" fontId="129" fillId="18" borderId="13" xfId="2" applyFont="1" applyFill="1" applyBorder="1" applyAlignment="1">
      <alignment horizontal="right"/>
    </xf>
    <xf numFmtId="0" fontId="129" fillId="18" borderId="20" xfId="2" applyFont="1" applyFill="1" applyBorder="1" applyAlignment="1">
      <alignment horizontal="right"/>
    </xf>
    <xf numFmtId="0" fontId="130" fillId="0" borderId="78" xfId="2" applyFont="1" applyBorder="1"/>
    <xf numFmtId="43" fontId="130" fillId="0" borderId="0" xfId="8" applyFont="1" applyBorder="1"/>
    <xf numFmtId="43" fontId="130" fillId="0" borderId="79" xfId="8" applyFont="1" applyBorder="1"/>
    <xf numFmtId="43" fontId="130" fillId="0" borderId="0" xfId="2" applyNumberFormat="1" applyFont="1"/>
    <xf numFmtId="9" fontId="130" fillId="0" borderId="0" xfId="1" applyFont="1"/>
    <xf numFmtId="0" fontId="130" fillId="0" borderId="80" xfId="2" applyFont="1" applyBorder="1"/>
    <xf numFmtId="43" fontId="129" fillId="0" borderId="81" xfId="8" applyFont="1" applyBorder="1"/>
    <xf numFmtId="43" fontId="129" fillId="0" borderId="82" xfId="8" applyFont="1" applyBorder="1"/>
    <xf numFmtId="43" fontId="130" fillId="0" borderId="0" xfId="8" applyFont="1"/>
    <xf numFmtId="0" fontId="128" fillId="0" borderId="0" xfId="0" applyFont="1" applyAlignment="1">
      <alignment horizontal="left"/>
    </xf>
    <xf numFmtId="0" fontId="129" fillId="30" borderId="13" xfId="2" applyFont="1" applyFill="1" applyBorder="1"/>
    <xf numFmtId="0" fontId="130" fillId="30" borderId="13" xfId="2" applyFont="1" applyFill="1" applyBorder="1"/>
    <xf numFmtId="0" fontId="129" fillId="30" borderId="13" xfId="2" applyFont="1" applyFill="1" applyBorder="1" applyAlignment="1">
      <alignment horizontal="right"/>
    </xf>
    <xf numFmtId="0" fontId="130" fillId="0" borderId="13" xfId="2" applyFont="1" applyBorder="1"/>
    <xf numFmtId="165" fontId="134" fillId="21" borderId="13" xfId="3" applyFont="1" applyFill="1" applyBorder="1"/>
    <xf numFmtId="165" fontId="134" fillId="19" borderId="13" xfId="3" applyFont="1" applyFill="1" applyBorder="1"/>
    <xf numFmtId="0" fontId="129" fillId="0" borderId="13" xfId="2" applyFont="1" applyBorder="1"/>
    <xf numFmtId="165" fontId="129" fillId="21" borderId="13" xfId="2" applyNumberFormat="1" applyFont="1" applyFill="1" applyBorder="1"/>
    <xf numFmtId="165" fontId="129" fillId="19" borderId="13" xfId="2" applyNumberFormat="1" applyFont="1" applyFill="1" applyBorder="1"/>
    <xf numFmtId="43" fontId="57" fillId="0" borderId="0" xfId="8" applyFont="1"/>
    <xf numFmtId="173" fontId="38" fillId="0" borderId="19" xfId="8" applyNumberFormat="1" applyFont="1" applyBorder="1"/>
    <xf numFmtId="173" fontId="38" fillId="0" borderId="20" xfId="8" applyNumberFormat="1" applyFont="1" applyBorder="1"/>
    <xf numFmtId="173" fontId="38" fillId="0" borderId="24" xfId="8" applyNumberFormat="1" applyFont="1" applyBorder="1"/>
    <xf numFmtId="173" fontId="57" fillId="0" borderId="21" xfId="8" applyNumberFormat="1" applyFont="1" applyBorder="1"/>
    <xf numFmtId="173" fontId="57" fillId="0" borderId="25" xfId="8" applyNumberFormat="1" applyFont="1" applyBorder="1"/>
    <xf numFmtId="0" fontId="57" fillId="30" borderId="16" xfId="2" applyFont="1" applyFill="1" applyBorder="1"/>
    <xf numFmtId="0" fontId="57" fillId="30" borderId="17" xfId="2" applyFont="1" applyFill="1" applyBorder="1"/>
    <xf numFmtId="0" fontId="57" fillId="30" borderId="18" xfId="2" applyFont="1" applyFill="1" applyBorder="1" applyAlignment="1">
      <alignment horizontal="right"/>
    </xf>
    <xf numFmtId="0" fontId="38" fillId="30" borderId="19" xfId="2" applyFont="1" applyFill="1" applyBorder="1"/>
    <xf numFmtId="0" fontId="57" fillId="30" borderId="20" xfId="2" applyFont="1" applyFill="1" applyBorder="1" applyAlignment="1">
      <alignment horizontal="right"/>
    </xf>
    <xf numFmtId="0" fontId="38" fillId="31" borderId="78" xfId="2" applyFont="1" applyFill="1" applyBorder="1"/>
    <xf numFmtId="0" fontId="38" fillId="31" borderId="0" xfId="2" applyFont="1" applyFill="1"/>
    <xf numFmtId="0" fontId="38" fillId="31" borderId="79" xfId="2" applyFont="1" applyFill="1" applyBorder="1"/>
    <xf numFmtId="173" fontId="38" fillId="31" borderId="0" xfId="8" applyNumberFormat="1" applyFont="1" applyFill="1" applyBorder="1"/>
    <xf numFmtId="173" fontId="57" fillId="31" borderId="0" xfId="8" applyNumberFormat="1" applyFont="1" applyFill="1" applyBorder="1"/>
    <xf numFmtId="173" fontId="57" fillId="31" borderId="79" xfId="8" applyNumberFormat="1" applyFont="1" applyFill="1" applyBorder="1"/>
    <xf numFmtId="173" fontId="38" fillId="31" borderId="79" xfId="8" applyNumberFormat="1" applyFont="1" applyFill="1" applyBorder="1"/>
    <xf numFmtId="0" fontId="38" fillId="31" borderId="80" xfId="2" applyFont="1" applyFill="1" applyBorder="1"/>
    <xf numFmtId="173" fontId="38" fillId="31" borderId="84" xfId="8" applyNumberFormat="1" applyFont="1" applyFill="1" applyBorder="1"/>
    <xf numFmtId="173" fontId="38" fillId="31" borderId="47" xfId="8" applyNumberFormat="1" applyFont="1" applyFill="1" applyBorder="1"/>
    <xf numFmtId="0" fontId="57" fillId="30" borderId="76" xfId="2" applyFont="1" applyFill="1" applyBorder="1"/>
    <xf numFmtId="0" fontId="57" fillId="30" borderId="78" xfId="2" applyFont="1" applyFill="1" applyBorder="1"/>
    <xf numFmtId="0" fontId="57" fillId="30" borderId="0" xfId="2" applyFont="1" applyFill="1"/>
    <xf numFmtId="0" fontId="57" fillId="30" borderId="0" xfId="2" applyFont="1" applyFill="1" applyAlignment="1">
      <alignment horizontal="right"/>
    </xf>
    <xf numFmtId="0" fontId="57" fillId="30" borderId="79" xfId="2" applyFont="1" applyFill="1" applyBorder="1" applyAlignment="1">
      <alignment horizontal="right"/>
    </xf>
    <xf numFmtId="43" fontId="38" fillId="0" borderId="39" xfId="8" applyFont="1" applyBorder="1"/>
    <xf numFmtId="43" fontId="29" fillId="31" borderId="38" xfId="8" applyFont="1" applyFill="1" applyBorder="1" applyAlignment="1">
      <alignment horizontal="right"/>
    </xf>
    <xf numFmtId="0" fontId="29" fillId="30" borderId="77" xfId="0" applyFont="1" applyFill="1" applyBorder="1"/>
    <xf numFmtId="0" fontId="57" fillId="30" borderId="28" xfId="2" applyFont="1" applyFill="1" applyBorder="1" applyAlignment="1">
      <alignment horizontal="right"/>
    </xf>
    <xf numFmtId="0" fontId="38" fillId="0" borderId="97" xfId="2" applyFont="1" applyBorder="1"/>
    <xf numFmtId="43" fontId="38" fillId="0" borderId="85" xfId="8" applyFont="1" applyBorder="1"/>
    <xf numFmtId="0" fontId="38" fillId="31" borderId="95" xfId="2" applyFont="1" applyFill="1" applyBorder="1"/>
    <xf numFmtId="43" fontId="29" fillId="31" borderId="96" xfId="8" applyFont="1" applyFill="1" applyBorder="1" applyAlignment="1">
      <alignment horizontal="right"/>
    </xf>
    <xf numFmtId="0" fontId="64" fillId="22" borderId="0" xfId="0" applyFont="1" applyFill="1"/>
    <xf numFmtId="0" fontId="64" fillId="22" borderId="0" xfId="0" applyFont="1" applyFill="1" applyAlignment="1">
      <alignment horizontal="left"/>
    </xf>
    <xf numFmtId="0" fontId="64" fillId="22" borderId="13" xfId="0" applyFont="1" applyFill="1" applyBorder="1" applyAlignment="1">
      <alignment horizontal="center"/>
    </xf>
    <xf numFmtId="173" fontId="64" fillId="22" borderId="20" xfId="0" applyNumberFormat="1" applyFont="1" applyFill="1" applyBorder="1" applyAlignment="1">
      <alignment horizontal="right"/>
    </xf>
    <xf numFmtId="0" fontId="135" fillId="22" borderId="13" xfId="0" applyFont="1" applyFill="1" applyBorder="1" applyAlignment="1">
      <alignment vertical="center" wrapText="1"/>
    </xf>
    <xf numFmtId="0" fontId="64" fillId="22" borderId="21" xfId="0" applyFont="1" applyFill="1" applyBorder="1" applyAlignment="1">
      <alignment horizontal="center"/>
    </xf>
    <xf numFmtId="0" fontId="77" fillId="22" borderId="0" xfId="0" applyFont="1" applyFill="1"/>
    <xf numFmtId="0" fontId="64" fillId="22" borderId="0" xfId="0" applyFont="1" applyFill="1" applyAlignment="1">
      <alignment horizontal="center"/>
    </xf>
    <xf numFmtId="173" fontId="77" fillId="22" borderId="0" xfId="0" applyNumberFormat="1" applyFont="1" applyFill="1" applyAlignment="1">
      <alignment horizontal="right"/>
    </xf>
    <xf numFmtId="0" fontId="137" fillId="0" borderId="107" xfId="0" applyFont="1" applyBorder="1" applyAlignment="1">
      <alignment horizontal="center" vertical="center" wrapText="1"/>
    </xf>
    <xf numFmtId="0" fontId="137" fillId="0" borderId="108" xfId="0" applyFont="1" applyBorder="1" applyAlignment="1">
      <alignment horizontal="center" vertical="center" wrapText="1"/>
    </xf>
    <xf numFmtId="0" fontId="137" fillId="34" borderId="109" xfId="0" applyFont="1" applyFill="1" applyBorder="1" applyAlignment="1">
      <alignment vertical="center" wrapText="1"/>
    </xf>
    <xf numFmtId="0" fontId="136" fillId="34" borderId="110" xfId="0" applyFont="1" applyFill="1" applyBorder="1" applyAlignment="1">
      <alignment vertical="center" wrapText="1"/>
    </xf>
    <xf numFmtId="0" fontId="137" fillId="34" borderId="110" xfId="0" applyFont="1" applyFill="1" applyBorder="1" applyAlignment="1">
      <alignment vertical="center" wrapText="1"/>
    </xf>
    <xf numFmtId="0" fontId="137" fillId="34" borderId="108" xfId="0" applyFont="1" applyFill="1" applyBorder="1" applyAlignment="1">
      <alignment vertical="center" wrapText="1"/>
    </xf>
    <xf numFmtId="0" fontId="136" fillId="0" borderId="110" xfId="0" applyFont="1" applyBorder="1" applyAlignment="1">
      <alignment vertical="center" wrapText="1"/>
    </xf>
    <xf numFmtId="0" fontId="137" fillId="0" borderId="110" xfId="0" applyFont="1" applyBorder="1" applyAlignment="1">
      <alignment vertical="center" wrapText="1"/>
    </xf>
    <xf numFmtId="0" fontId="137" fillId="0" borderId="108" xfId="0" applyFont="1" applyBorder="1" applyAlignment="1">
      <alignment vertical="center" wrapText="1"/>
    </xf>
    <xf numFmtId="0" fontId="136" fillId="0" borderId="108" xfId="0" applyFont="1" applyBorder="1" applyAlignment="1">
      <alignment vertical="center" wrapText="1"/>
    </xf>
    <xf numFmtId="0" fontId="0" fillId="0" borderId="108" xfId="0" applyBorder="1" applyAlignment="1">
      <alignment vertical="top" wrapText="1"/>
    </xf>
    <xf numFmtId="0" fontId="77" fillId="0" borderId="107" xfId="0" applyFont="1" applyBorder="1" applyAlignment="1">
      <alignment horizontal="left" vertical="center" wrapText="1"/>
    </xf>
    <xf numFmtId="0" fontId="77" fillId="0" borderId="108" xfId="0" applyFont="1" applyBorder="1" applyAlignment="1">
      <alignment horizontal="left" vertical="center" wrapText="1"/>
    </xf>
    <xf numFmtId="0" fontId="77" fillId="34" borderId="110" xfId="0" applyFont="1" applyFill="1" applyBorder="1" applyAlignment="1">
      <alignment horizontal="left" vertical="center" wrapText="1"/>
    </xf>
    <xf numFmtId="0" fontId="77" fillId="34" borderId="108" xfId="0" applyFont="1" applyFill="1" applyBorder="1" applyAlignment="1">
      <alignment horizontal="left" vertical="center" wrapText="1"/>
    </xf>
    <xf numFmtId="0" fontId="77" fillId="0" borderId="110" xfId="0" applyFont="1" applyBorder="1" applyAlignment="1">
      <alignment horizontal="left" vertical="center" wrapText="1"/>
    </xf>
    <xf numFmtId="0" fontId="64" fillId="0" borderId="110" xfId="0" applyFont="1" applyBorder="1" applyAlignment="1">
      <alignment horizontal="left" vertical="center" wrapText="1"/>
    </xf>
    <xf numFmtId="0" fontId="64" fillId="0" borderId="108" xfId="0" applyFont="1" applyBorder="1" applyAlignment="1">
      <alignment horizontal="left" vertical="center" wrapText="1"/>
    </xf>
    <xf numFmtId="0" fontId="64" fillId="0" borderId="108" xfId="0" applyFont="1" applyBorder="1" applyAlignment="1">
      <alignment horizontal="left" vertical="top" wrapText="1"/>
    </xf>
    <xf numFmtId="0" fontId="140" fillId="0" borderId="0" xfId="0" applyFont="1" applyAlignment="1">
      <alignment vertical="center"/>
    </xf>
    <xf numFmtId="0" fontId="141" fillId="0" borderId="0" xfId="0" applyFont="1"/>
    <xf numFmtId="0" fontId="64" fillId="22" borderId="0" xfId="0" quotePrefix="1" applyFont="1" applyFill="1"/>
    <xf numFmtId="0" fontId="138" fillId="34" borderId="105" xfId="0" applyFont="1" applyFill="1" applyBorder="1" applyAlignment="1">
      <alignment vertical="center" wrapText="1"/>
    </xf>
    <xf numFmtId="10" fontId="136" fillId="0" borderId="110" xfId="0" applyNumberFormat="1" applyFont="1" applyBorder="1" applyAlignment="1">
      <alignment vertical="center" wrapText="1"/>
    </xf>
    <xf numFmtId="0" fontId="141" fillId="0" borderId="0" xfId="0" applyFont="1" applyAlignment="1">
      <alignment vertical="center"/>
    </xf>
    <xf numFmtId="0" fontId="64" fillId="22" borderId="111" xfId="0" applyFont="1" applyFill="1" applyBorder="1"/>
    <xf numFmtId="0" fontId="137" fillId="0" borderId="103" xfId="0" applyFont="1" applyBorder="1" applyAlignment="1">
      <alignment horizontal="center" vertical="center" wrapText="1"/>
    </xf>
    <xf numFmtId="0" fontId="137" fillId="0" borderId="106" xfId="0" applyFont="1" applyBorder="1" applyAlignment="1">
      <alignment horizontal="center" vertical="center" wrapText="1"/>
    </xf>
    <xf numFmtId="0" fontId="0" fillId="0" borderId="110" xfId="0" applyBorder="1" applyAlignment="1">
      <alignment vertical="top" wrapText="1"/>
    </xf>
    <xf numFmtId="0" fontId="140" fillId="0" borderId="0" xfId="0" applyFont="1"/>
    <xf numFmtId="164" fontId="136" fillId="0" borderId="110" xfId="0" applyNumberFormat="1" applyFont="1" applyBorder="1" applyAlignment="1">
      <alignment vertical="center" wrapText="1"/>
    </xf>
    <xf numFmtId="0" fontId="136" fillId="34" borderId="108" xfId="0" applyFont="1" applyFill="1" applyBorder="1" applyAlignment="1">
      <alignment vertical="center" wrapText="1"/>
    </xf>
    <xf numFmtId="0" fontId="64" fillId="22" borderId="19" xfId="0" applyFont="1" applyFill="1" applyBorder="1"/>
    <xf numFmtId="0" fontId="64" fillId="22" borderId="24" xfId="0" applyFont="1" applyFill="1" applyBorder="1"/>
    <xf numFmtId="0" fontId="135" fillId="22" borderId="21" xfId="0" applyFont="1" applyFill="1" applyBorder="1" applyAlignment="1">
      <alignment vertical="center" wrapText="1"/>
    </xf>
    <xf numFmtId="173" fontId="64" fillId="22" borderId="25" xfId="0" applyNumberFormat="1" applyFont="1" applyFill="1" applyBorder="1" applyAlignment="1">
      <alignment horizontal="right"/>
    </xf>
    <xf numFmtId="0" fontId="64" fillId="30" borderId="16" xfId="0" applyFont="1" applyFill="1" applyBorder="1"/>
    <xf numFmtId="0" fontId="136" fillId="22" borderId="0" xfId="0" applyFont="1" applyFill="1"/>
    <xf numFmtId="0" fontId="53" fillId="30" borderId="17" xfId="0" applyFont="1" applyFill="1" applyBorder="1" applyAlignment="1">
      <alignment horizontal="left"/>
    </xf>
    <xf numFmtId="0" fontId="53" fillId="30" borderId="17" xfId="0" applyFont="1" applyFill="1" applyBorder="1" applyAlignment="1">
      <alignment horizontal="center" wrapText="1"/>
    </xf>
    <xf numFmtId="173" fontId="64" fillId="35" borderId="13" xfId="8" applyNumberFormat="1" applyFont="1" applyFill="1" applyBorder="1" applyAlignment="1">
      <alignment horizontal="right" vertical="center" wrapText="1"/>
    </xf>
    <xf numFmtId="0" fontId="12" fillId="30" borderId="16" xfId="0" applyFont="1" applyFill="1" applyBorder="1" applyAlignment="1">
      <alignment horizontal="center" vertical="center" wrapText="1"/>
    </xf>
    <xf numFmtId="0" fontId="12" fillId="30" borderId="17" xfId="0" applyFont="1" applyFill="1" applyBorder="1" applyAlignment="1">
      <alignment horizontal="right" vertical="center" wrapText="1"/>
    </xf>
    <xf numFmtId="0" fontId="12" fillId="30" borderId="18" xfId="0" applyFont="1" applyFill="1" applyBorder="1" applyAlignment="1">
      <alignment horizontal="right" vertical="center" wrapText="1"/>
    </xf>
    <xf numFmtId="0" fontId="64" fillId="35" borderId="19" xfId="0" applyFont="1" applyFill="1" applyBorder="1" applyAlignment="1">
      <alignment horizontal="center" vertical="center" wrapText="1"/>
    </xf>
    <xf numFmtId="9" fontId="64" fillId="35" borderId="20" xfId="1" applyFont="1" applyFill="1" applyBorder="1" applyAlignment="1">
      <alignment horizontal="right" vertical="center" wrapText="1"/>
    </xf>
    <xf numFmtId="0" fontId="64" fillId="35" borderId="24" xfId="0" applyFont="1" applyFill="1" applyBorder="1" applyAlignment="1">
      <alignment horizontal="center" vertical="center" wrapText="1"/>
    </xf>
    <xf numFmtId="173" fontId="64" fillId="35" borderId="21" xfId="8" applyNumberFormat="1" applyFont="1" applyFill="1" applyBorder="1" applyAlignment="1">
      <alignment horizontal="right" vertical="center" wrapText="1"/>
    </xf>
    <xf numFmtId="9" fontId="64" fillId="35" borderId="25" xfId="1" applyFont="1" applyFill="1" applyBorder="1" applyAlignment="1">
      <alignment horizontal="right" vertical="center" wrapText="1"/>
    </xf>
    <xf numFmtId="0" fontId="64" fillId="0" borderId="0" xfId="0" applyFont="1"/>
    <xf numFmtId="0" fontId="105" fillId="0" borderId="0" xfId="0" applyFont="1"/>
    <xf numFmtId="0" fontId="64" fillId="19" borderId="23" xfId="0" applyFont="1" applyFill="1" applyBorder="1"/>
    <xf numFmtId="0" fontId="105" fillId="19" borderId="46" xfId="0" applyFont="1" applyFill="1" applyBorder="1"/>
    <xf numFmtId="43" fontId="105" fillId="19" borderId="46" xfId="0" applyNumberFormat="1" applyFont="1" applyFill="1" applyBorder="1"/>
    <xf numFmtId="0" fontId="105" fillId="20" borderId="0" xfId="2" applyFont="1" applyFill="1"/>
    <xf numFmtId="0" fontId="1" fillId="20" borderId="0" xfId="0" applyFont="1" applyFill="1"/>
    <xf numFmtId="0" fontId="105" fillId="20" borderId="0" xfId="2" applyFont="1" applyFill="1" applyAlignment="1">
      <alignment horizontal="left"/>
    </xf>
    <xf numFmtId="43" fontId="1" fillId="20" borderId="0" xfId="0" applyNumberFormat="1" applyFont="1" applyFill="1"/>
    <xf numFmtId="0" fontId="105" fillId="20" borderId="13" xfId="2" applyFont="1" applyFill="1" applyBorder="1"/>
    <xf numFmtId="0" fontId="105" fillId="20" borderId="13" xfId="2" applyFont="1" applyFill="1" applyBorder="1" applyAlignment="1">
      <alignment horizontal="center"/>
    </xf>
    <xf numFmtId="0" fontId="105" fillId="20" borderId="29" xfId="2" applyFont="1" applyFill="1" applyBorder="1" applyAlignment="1">
      <alignment horizontal="center"/>
    </xf>
    <xf numFmtId="0" fontId="105" fillId="20" borderId="13" xfId="2" applyFont="1" applyFill="1" applyBorder="1" applyAlignment="1">
      <alignment horizontal="center" wrapText="1"/>
    </xf>
    <xf numFmtId="0" fontId="105" fillId="20" borderId="44" xfId="2" applyFont="1" applyFill="1" applyBorder="1" applyAlignment="1">
      <alignment horizontal="center" wrapText="1"/>
    </xf>
    <xf numFmtId="0" fontId="105" fillId="20" borderId="23" xfId="2" applyFont="1" applyFill="1" applyBorder="1"/>
    <xf numFmtId="0" fontId="105" fillId="20" borderId="23" xfId="2" quotePrefix="1" applyFont="1" applyFill="1" applyBorder="1" applyAlignment="1">
      <alignment horizontal="center"/>
    </xf>
    <xf numFmtId="0" fontId="105" fillId="20" borderId="13" xfId="2" applyFont="1" applyFill="1" applyBorder="1" applyAlignment="1">
      <alignment wrapText="1"/>
    </xf>
    <xf numFmtId="165" fontId="106" fillId="20" borderId="13" xfId="14" applyFont="1" applyFill="1" applyBorder="1" applyAlignment="1">
      <alignment wrapText="1"/>
    </xf>
    <xf numFmtId="165" fontId="105" fillId="20" borderId="13" xfId="14" applyFont="1" applyFill="1" applyBorder="1" applyAlignment="1">
      <alignment wrapText="1"/>
    </xf>
    <xf numFmtId="43" fontId="105" fillId="20" borderId="13" xfId="2" applyNumberFormat="1" applyFont="1" applyFill="1" applyBorder="1"/>
    <xf numFmtId="0" fontId="105" fillId="20" borderId="13" xfId="2" applyFont="1" applyFill="1" applyBorder="1" applyAlignment="1">
      <alignment horizontal="left"/>
    </xf>
    <xf numFmtId="43" fontId="106" fillId="20" borderId="13" xfId="2" applyNumberFormat="1" applyFont="1" applyFill="1" applyBorder="1"/>
    <xf numFmtId="0" fontId="1" fillId="20" borderId="13" xfId="0" applyFont="1" applyFill="1" applyBorder="1"/>
    <xf numFmtId="0" fontId="12" fillId="20" borderId="13" xfId="0" applyFont="1" applyFill="1" applyBorder="1"/>
    <xf numFmtId="0" fontId="12" fillId="20" borderId="40" xfId="0" applyFont="1" applyFill="1" applyBorder="1"/>
    <xf numFmtId="43" fontId="12" fillId="20" borderId="40" xfId="8" applyFont="1" applyFill="1" applyBorder="1"/>
    <xf numFmtId="43" fontId="12" fillId="20" borderId="13" xfId="8" applyFont="1" applyFill="1" applyBorder="1"/>
    <xf numFmtId="0" fontId="1" fillId="20" borderId="40" xfId="0" applyFont="1" applyFill="1" applyBorder="1"/>
    <xf numFmtId="43" fontId="12" fillId="20" borderId="13" xfId="0" applyNumberFormat="1" applyFont="1" applyFill="1" applyBorder="1"/>
    <xf numFmtId="0" fontId="105" fillId="18" borderId="13" xfId="0" applyFont="1" applyFill="1" applyBorder="1"/>
    <xf numFmtId="0" fontId="105" fillId="18" borderId="112" xfId="0" applyFont="1" applyFill="1" applyBorder="1" applyAlignment="1">
      <alignment horizontal="center"/>
    </xf>
    <xf numFmtId="0" fontId="105" fillId="18" borderId="29" xfId="0" applyFont="1" applyFill="1" applyBorder="1" applyAlignment="1">
      <alignment horizontal="center"/>
    </xf>
    <xf numFmtId="0" fontId="105" fillId="18" borderId="44" xfId="0" applyFont="1" applyFill="1" applyBorder="1" applyAlignment="1">
      <alignment horizontal="center" wrapText="1"/>
    </xf>
    <xf numFmtId="0" fontId="105" fillId="18" borderId="13" xfId="0" applyFont="1" applyFill="1" applyBorder="1" applyAlignment="1">
      <alignment horizontal="center" wrapText="1"/>
    </xf>
    <xf numFmtId="0" fontId="105" fillId="18" borderId="23" xfId="0" applyFont="1" applyFill="1" applyBorder="1"/>
    <xf numFmtId="0" fontId="105" fillId="18" borderId="23" xfId="0" applyFont="1" applyFill="1" applyBorder="1" applyAlignment="1">
      <alignment horizontal="center"/>
    </xf>
    <xf numFmtId="0" fontId="105" fillId="18" borderId="46" xfId="0" applyFont="1" applyFill="1" applyBorder="1" applyAlignment="1">
      <alignment horizontal="center"/>
    </xf>
    <xf numFmtId="0" fontId="105" fillId="18" borderId="46" xfId="0" applyFont="1" applyFill="1" applyBorder="1" applyAlignment="1">
      <alignment wrapText="1"/>
    </xf>
    <xf numFmtId="165" fontId="106" fillId="18" borderId="112" xfId="0" applyNumberFormat="1" applyFont="1" applyFill="1" applyBorder="1" applyAlignment="1">
      <alignment wrapText="1"/>
    </xf>
    <xf numFmtId="165" fontId="105" fillId="36" borderId="112" xfId="0" applyNumberFormat="1" applyFont="1" applyFill="1" applyBorder="1" applyAlignment="1">
      <alignment wrapText="1"/>
    </xf>
    <xf numFmtId="0" fontId="105" fillId="18" borderId="23" xfId="0" applyFont="1" applyFill="1" applyBorder="1" applyAlignment="1">
      <alignment horizontal="center" wrapText="1"/>
    </xf>
    <xf numFmtId="165" fontId="106" fillId="18" borderId="46" xfId="0" applyNumberFormat="1" applyFont="1" applyFill="1" applyBorder="1" applyAlignment="1">
      <alignment wrapText="1"/>
    </xf>
    <xf numFmtId="165" fontId="105" fillId="36" borderId="46" xfId="0" applyNumberFormat="1" applyFont="1" applyFill="1" applyBorder="1" applyAlignment="1">
      <alignment wrapText="1"/>
    </xf>
    <xf numFmtId="165" fontId="105" fillId="18" borderId="46" xfId="0" applyNumberFormat="1" applyFont="1" applyFill="1" applyBorder="1" applyAlignment="1">
      <alignment wrapText="1"/>
    </xf>
    <xf numFmtId="43" fontId="105" fillId="18" borderId="46" xfId="0" applyNumberFormat="1" applyFont="1" applyFill="1" applyBorder="1"/>
    <xf numFmtId="0" fontId="105" fillId="18" borderId="46" xfId="0" applyFont="1" applyFill="1" applyBorder="1" applyAlignment="1">
      <alignment horizontal="left"/>
    </xf>
    <xf numFmtId="43" fontId="106" fillId="18" borderId="46" xfId="0" applyNumberFormat="1" applyFont="1" applyFill="1" applyBorder="1"/>
    <xf numFmtId="43" fontId="105" fillId="36" borderId="46" xfId="0" applyNumberFormat="1" applyFont="1" applyFill="1" applyBorder="1"/>
    <xf numFmtId="0" fontId="0" fillId="18" borderId="0" xfId="0" applyFill="1"/>
    <xf numFmtId="0" fontId="1" fillId="18" borderId="13" xfId="0" applyFont="1" applyFill="1" applyBorder="1" applyAlignment="1">
      <alignment horizontal="center"/>
    </xf>
    <xf numFmtId="0" fontId="12" fillId="18" borderId="13" xfId="0" applyFont="1" applyFill="1" applyBorder="1" applyAlignment="1">
      <alignment horizontal="center"/>
    </xf>
    <xf numFmtId="0" fontId="12" fillId="18" borderId="13" xfId="0" applyFont="1" applyFill="1" applyBorder="1"/>
    <xf numFmtId="43" fontId="1" fillId="18" borderId="13" xfId="8" applyFont="1" applyFill="1" applyBorder="1"/>
    <xf numFmtId="0" fontId="12" fillId="18" borderId="13" xfId="0" applyFont="1" applyFill="1" applyBorder="1" applyAlignment="1">
      <alignment wrapText="1"/>
    </xf>
    <xf numFmtId="0" fontId="64" fillId="18" borderId="13" xfId="0" applyFont="1" applyFill="1" applyBorder="1" applyAlignment="1">
      <alignment horizontal="center"/>
    </xf>
    <xf numFmtId="0" fontId="105" fillId="18" borderId="0" xfId="2" applyFont="1" applyFill="1"/>
    <xf numFmtId="0" fontId="1" fillId="18" borderId="0" xfId="0" applyFont="1" applyFill="1"/>
    <xf numFmtId="0" fontId="105" fillId="18" borderId="0" xfId="2" applyFont="1" applyFill="1" applyAlignment="1">
      <alignment horizontal="left"/>
    </xf>
    <xf numFmtId="43" fontId="1" fillId="18" borderId="0" xfId="0" applyNumberFormat="1" applyFont="1" applyFill="1"/>
    <xf numFmtId="0" fontId="105" fillId="18" borderId="13" xfId="2" applyFont="1" applyFill="1" applyBorder="1"/>
    <xf numFmtId="0" fontId="105" fillId="18" borderId="13" xfId="2" applyFont="1" applyFill="1" applyBorder="1" applyAlignment="1">
      <alignment horizontal="center"/>
    </xf>
    <xf numFmtId="0" fontId="105" fillId="18" borderId="29" xfId="2" applyFont="1" applyFill="1" applyBorder="1" applyAlignment="1">
      <alignment horizontal="center"/>
    </xf>
    <xf numFmtId="0" fontId="105" fillId="18" borderId="13" xfId="2" applyFont="1" applyFill="1" applyBorder="1" applyAlignment="1">
      <alignment horizontal="center" wrapText="1"/>
    </xf>
    <xf numFmtId="0" fontId="105" fillId="18" borderId="44" xfId="2" applyFont="1" applyFill="1" applyBorder="1" applyAlignment="1">
      <alignment horizontal="center" wrapText="1"/>
    </xf>
    <xf numFmtId="0" fontId="105" fillId="18" borderId="23" xfId="2" applyFont="1" applyFill="1" applyBorder="1"/>
    <xf numFmtId="0" fontId="105" fillId="18" borderId="23" xfId="2" quotePrefix="1" applyFont="1" applyFill="1" applyBorder="1" applyAlignment="1">
      <alignment horizontal="center"/>
    </xf>
    <xf numFmtId="0" fontId="105" fillId="18" borderId="13" xfId="2" applyFont="1" applyFill="1" applyBorder="1" applyAlignment="1">
      <alignment wrapText="1"/>
    </xf>
    <xf numFmtId="165" fontId="106" fillId="18" borderId="13" xfId="14" applyFont="1" applyFill="1" applyBorder="1" applyAlignment="1">
      <alignment wrapText="1"/>
    </xf>
    <xf numFmtId="165" fontId="105" fillId="18" borderId="13" xfId="14" applyFont="1" applyFill="1" applyBorder="1" applyAlignment="1">
      <alignment wrapText="1"/>
    </xf>
    <xf numFmtId="0" fontId="105" fillId="18" borderId="13" xfId="2" applyFont="1" applyFill="1" applyBorder="1" applyAlignment="1">
      <alignment horizontal="left"/>
    </xf>
    <xf numFmtId="43" fontId="105" fillId="18" borderId="13" xfId="2" applyNumberFormat="1" applyFont="1" applyFill="1" applyBorder="1"/>
    <xf numFmtId="43" fontId="106" fillId="18" borderId="13" xfId="2" applyNumberFormat="1" applyFont="1" applyFill="1" applyBorder="1"/>
    <xf numFmtId="0" fontId="1" fillId="18" borderId="13" xfId="0" applyFont="1" applyFill="1" applyBorder="1"/>
    <xf numFmtId="0" fontId="12" fillId="18" borderId="40" xfId="0" applyFont="1" applyFill="1" applyBorder="1"/>
    <xf numFmtId="43" fontId="12" fillId="18" borderId="40" xfId="8" applyFont="1" applyFill="1" applyBorder="1"/>
    <xf numFmtId="43" fontId="12" fillId="18" borderId="13" xfId="0" applyNumberFormat="1" applyFont="1" applyFill="1" applyBorder="1"/>
    <xf numFmtId="0" fontId="29" fillId="19" borderId="0" xfId="0" applyFont="1" applyFill="1"/>
    <xf numFmtId="0" fontId="0" fillId="19" borderId="0" xfId="0" applyFill="1"/>
    <xf numFmtId="0" fontId="12" fillId="19" borderId="91" xfId="0" applyFont="1" applyFill="1" applyBorder="1" applyAlignment="1">
      <alignment horizontal="center"/>
    </xf>
    <xf numFmtId="0" fontId="12" fillId="19" borderId="92" xfId="0" applyFont="1" applyFill="1" applyBorder="1" applyAlignment="1">
      <alignment horizontal="center"/>
    </xf>
    <xf numFmtId="0" fontId="12" fillId="19" borderId="93" xfId="0" applyFont="1" applyFill="1" applyBorder="1" applyAlignment="1">
      <alignment horizontal="center"/>
    </xf>
    <xf numFmtId="0" fontId="1" fillId="19" borderId="74" xfId="0" applyFont="1" applyFill="1" applyBorder="1" applyAlignment="1">
      <alignment horizontal="center"/>
    </xf>
    <xf numFmtId="0" fontId="1" fillId="19" borderId="23" xfId="0" applyFont="1" applyFill="1" applyBorder="1" applyAlignment="1">
      <alignment horizontal="center"/>
    </xf>
    <xf numFmtId="43" fontId="1" fillId="19" borderId="75" xfId="8" applyFont="1" applyFill="1" applyBorder="1" applyAlignment="1">
      <alignment horizontal="center"/>
    </xf>
    <xf numFmtId="0" fontId="1" fillId="19" borderId="19" xfId="0" applyFont="1" applyFill="1" applyBorder="1" applyAlignment="1">
      <alignment horizontal="center"/>
    </xf>
    <xf numFmtId="0" fontId="1" fillId="19" borderId="13" xfId="0" applyFont="1" applyFill="1" applyBorder="1" applyAlignment="1">
      <alignment horizontal="center"/>
    </xf>
    <xf numFmtId="0" fontId="1" fillId="19" borderId="13" xfId="0" applyFont="1" applyFill="1" applyBorder="1"/>
    <xf numFmtId="43" fontId="1" fillId="19" borderId="20" xfId="8" applyFont="1" applyFill="1" applyBorder="1"/>
    <xf numFmtId="0" fontId="1" fillId="19" borderId="13" xfId="0" applyFont="1" applyFill="1" applyBorder="1" applyAlignment="1">
      <alignment horizontal="center" wrapText="1"/>
    </xf>
    <xf numFmtId="0" fontId="1" fillId="19" borderId="31" xfId="0" applyFont="1" applyFill="1" applyBorder="1" applyAlignment="1">
      <alignment horizontal="center"/>
    </xf>
    <xf numFmtId="0" fontId="1" fillId="19" borderId="40" xfId="0" applyFont="1" applyFill="1" applyBorder="1" applyAlignment="1">
      <alignment horizontal="center"/>
    </xf>
    <xf numFmtId="0" fontId="1" fillId="19" borderId="40" xfId="0" applyFont="1" applyFill="1" applyBorder="1"/>
    <xf numFmtId="4" fontId="1" fillId="19" borderId="40" xfId="0" applyNumberFormat="1" applyFont="1" applyFill="1" applyBorder="1"/>
    <xf numFmtId="0" fontId="12" fillId="19" borderId="41" xfId="0" applyFont="1" applyFill="1" applyBorder="1" applyAlignment="1">
      <alignment horizontal="center"/>
    </xf>
    <xf numFmtId="0" fontId="12" fillId="19" borderId="42" xfId="0" applyFont="1" applyFill="1" applyBorder="1" applyAlignment="1">
      <alignment horizontal="center"/>
    </xf>
    <xf numFmtId="0" fontId="12" fillId="19" borderId="42" xfId="0" applyFont="1" applyFill="1" applyBorder="1"/>
    <xf numFmtId="4" fontId="1" fillId="19" borderId="23" xfId="0" applyNumberFormat="1" applyFont="1" applyFill="1" applyBorder="1"/>
    <xf numFmtId="4" fontId="1" fillId="19" borderId="13" xfId="0" applyNumberFormat="1" applyFont="1" applyFill="1" applyBorder="1"/>
    <xf numFmtId="0" fontId="1" fillId="19" borderId="24" xfId="0" applyFont="1" applyFill="1" applyBorder="1" applyAlignment="1">
      <alignment horizontal="center"/>
    </xf>
    <xf numFmtId="0" fontId="1" fillId="19" borderId="21" xfId="0" applyFont="1" applyFill="1" applyBorder="1" applyAlignment="1">
      <alignment horizontal="center"/>
    </xf>
    <xf numFmtId="4" fontId="1" fillId="19" borderId="21" xfId="0" applyNumberFormat="1" applyFont="1" applyFill="1" applyBorder="1"/>
    <xf numFmtId="4" fontId="12" fillId="19" borderId="92" xfId="0" applyNumberFormat="1" applyFont="1" applyFill="1" applyBorder="1"/>
    <xf numFmtId="4" fontId="12" fillId="19" borderId="93" xfId="0" applyNumberFormat="1" applyFont="1" applyFill="1" applyBorder="1"/>
    <xf numFmtId="0" fontId="1" fillId="19" borderId="91" xfId="0" applyFont="1" applyFill="1" applyBorder="1" applyAlignment="1">
      <alignment horizontal="center"/>
    </xf>
    <xf numFmtId="0" fontId="1" fillId="19" borderId="92" xfId="0" applyFont="1" applyFill="1" applyBorder="1" applyAlignment="1">
      <alignment horizontal="center" wrapText="1"/>
    </xf>
    <xf numFmtId="4" fontId="1" fillId="19" borderId="92" xfId="0" applyNumberFormat="1" applyFont="1" applyFill="1" applyBorder="1"/>
    <xf numFmtId="4" fontId="1" fillId="19" borderId="93" xfId="0" applyNumberFormat="1" applyFont="1" applyFill="1" applyBorder="1"/>
    <xf numFmtId="0" fontId="77" fillId="18" borderId="13" xfId="0" applyFont="1" applyFill="1" applyBorder="1" applyAlignment="1">
      <alignment horizontal="center" vertical="center"/>
    </xf>
    <xf numFmtId="0" fontId="77" fillId="18" borderId="112" xfId="0" applyFont="1" applyFill="1" applyBorder="1" applyAlignment="1">
      <alignment horizontal="left" vertical="center" wrapText="1"/>
    </xf>
    <xf numFmtId="0" fontId="77" fillId="18" borderId="112" xfId="0" applyFont="1" applyFill="1" applyBorder="1" applyAlignment="1">
      <alignment horizontal="center" vertical="center"/>
    </xf>
    <xf numFmtId="0" fontId="77" fillId="18" borderId="112" xfId="0" applyFont="1" applyFill="1" applyBorder="1" applyAlignment="1">
      <alignment vertical="center"/>
    </xf>
    <xf numFmtId="0" fontId="77" fillId="18" borderId="23" xfId="0" applyFont="1" applyFill="1" applyBorder="1" applyAlignment="1">
      <alignment horizontal="center" vertical="center"/>
    </xf>
    <xf numFmtId="0" fontId="77" fillId="18" borderId="46" xfId="0" applyFont="1" applyFill="1" applyBorder="1" applyAlignment="1">
      <alignment horizontal="left" vertical="center" wrapText="1"/>
    </xf>
    <xf numFmtId="0" fontId="77" fillId="18" borderId="46" xfId="0" applyFont="1" applyFill="1" applyBorder="1" applyAlignment="1">
      <alignment horizontal="center" vertical="center"/>
    </xf>
    <xf numFmtId="43" fontId="77" fillId="18" borderId="46" xfId="0" applyNumberFormat="1" applyFont="1" applyFill="1" applyBorder="1" applyAlignment="1">
      <alignment vertical="center"/>
    </xf>
    <xf numFmtId="0" fontId="77" fillId="36" borderId="23" xfId="0" applyFont="1" applyFill="1" applyBorder="1" applyAlignment="1">
      <alignment horizontal="center" vertical="center"/>
    </xf>
    <xf numFmtId="0" fontId="77" fillId="36" borderId="46" xfId="0" applyFont="1" applyFill="1" applyBorder="1" applyAlignment="1">
      <alignment horizontal="left" vertical="center" wrapText="1"/>
    </xf>
    <xf numFmtId="43" fontId="77" fillId="36" borderId="46" xfId="0" applyNumberFormat="1" applyFont="1" applyFill="1" applyBorder="1" applyAlignment="1">
      <alignment vertical="center"/>
    </xf>
    <xf numFmtId="4" fontId="77" fillId="36" borderId="46" xfId="0" applyNumberFormat="1" applyFont="1" applyFill="1" applyBorder="1" applyAlignment="1">
      <alignment vertical="center"/>
    </xf>
    <xf numFmtId="43" fontId="105" fillId="18" borderId="46" xfId="0" applyNumberFormat="1" applyFont="1" applyFill="1" applyBorder="1" applyAlignment="1">
      <alignment vertical="center"/>
    </xf>
    <xf numFmtId="4" fontId="77" fillId="18" borderId="46" xfId="0" applyNumberFormat="1" applyFont="1" applyFill="1" applyBorder="1" applyAlignment="1">
      <alignment vertical="center"/>
    </xf>
    <xf numFmtId="4" fontId="105" fillId="18" borderId="0" xfId="0" applyNumberFormat="1" applyFont="1" applyFill="1" applyAlignment="1">
      <alignment vertical="center"/>
    </xf>
    <xf numFmtId="43" fontId="77" fillId="18" borderId="23" xfId="0" applyNumberFormat="1" applyFont="1" applyFill="1" applyBorder="1" applyAlignment="1">
      <alignment vertical="center"/>
    </xf>
    <xf numFmtId="43" fontId="77" fillId="18" borderId="112" xfId="0" applyNumberFormat="1" applyFont="1" applyFill="1" applyBorder="1" applyAlignment="1">
      <alignment vertical="center"/>
    </xf>
    <xf numFmtId="43" fontId="144" fillId="18" borderId="46" xfId="0" applyNumberFormat="1" applyFont="1" applyFill="1" applyBorder="1" applyAlignment="1">
      <alignment vertical="center"/>
    </xf>
    <xf numFmtId="0" fontId="64" fillId="18" borderId="0" xfId="0" applyFont="1" applyFill="1" applyAlignment="1">
      <alignment horizontal="center" vertical="center"/>
    </xf>
    <xf numFmtId="0" fontId="77" fillId="18" borderId="0" xfId="0" applyFont="1" applyFill="1" applyAlignment="1">
      <alignment vertical="center"/>
    </xf>
    <xf numFmtId="43" fontId="64" fillId="18" borderId="0" xfId="0" applyNumberFormat="1" applyFont="1" applyFill="1" applyAlignment="1">
      <alignment vertical="center"/>
    </xf>
    <xf numFmtId="0" fontId="64" fillId="18" borderId="0" xfId="0" applyFont="1" applyFill="1" applyAlignment="1">
      <alignment vertical="center"/>
    </xf>
    <xf numFmtId="43" fontId="77" fillId="18" borderId="0" xfId="0" applyNumberFormat="1" applyFont="1" applyFill="1" applyAlignment="1">
      <alignment vertical="center"/>
    </xf>
    <xf numFmtId="0" fontId="64" fillId="18" borderId="0" xfId="0" applyFont="1" applyFill="1" applyAlignment="1">
      <alignment horizontal="center"/>
    </xf>
    <xf numFmtId="0" fontId="64" fillId="18" borderId="0" xfId="0" applyFont="1" applyFill="1"/>
    <xf numFmtId="43" fontId="64" fillId="18" borderId="0" xfId="0" applyNumberFormat="1" applyFont="1" applyFill="1"/>
    <xf numFmtId="0" fontId="77" fillId="18" borderId="0" xfId="0" applyFont="1" applyFill="1" applyAlignment="1">
      <alignment horizontal="center" vertical="center"/>
    </xf>
    <xf numFmtId="0" fontId="77" fillId="19" borderId="13" xfId="0" applyFont="1" applyFill="1" applyBorder="1" applyAlignment="1">
      <alignment horizontal="center" vertical="center"/>
    </xf>
    <xf numFmtId="0" fontId="77" fillId="19" borderId="112" xfId="0" applyFont="1" applyFill="1" applyBorder="1" applyAlignment="1">
      <alignment horizontal="center" vertical="center"/>
    </xf>
    <xf numFmtId="0" fontId="77" fillId="19" borderId="23" xfId="0" applyFont="1" applyFill="1" applyBorder="1" applyAlignment="1">
      <alignment horizontal="center" vertical="center"/>
    </xf>
    <xf numFmtId="0" fontId="77" fillId="19" borderId="46" xfId="0" applyFont="1" applyFill="1" applyBorder="1" applyAlignment="1">
      <alignment horizontal="left" vertical="center"/>
    </xf>
    <xf numFmtId="0" fontId="77" fillId="19" borderId="46" xfId="0" applyFont="1" applyFill="1" applyBorder="1" applyAlignment="1">
      <alignment horizontal="center" vertical="center"/>
    </xf>
    <xf numFmtId="43" fontId="77" fillId="19" borderId="46" xfId="0" applyNumberFormat="1" applyFont="1" applyFill="1" applyBorder="1" applyAlignment="1">
      <alignment vertical="center"/>
    </xf>
    <xf numFmtId="0" fontId="77" fillId="19" borderId="46" xfId="0" applyFont="1" applyFill="1" applyBorder="1" applyAlignment="1">
      <alignment horizontal="left" vertical="center" wrapText="1"/>
    </xf>
    <xf numFmtId="43" fontId="144" fillId="19" borderId="0" xfId="0" applyNumberFormat="1" applyFont="1" applyFill="1" applyAlignment="1">
      <alignment vertical="center"/>
    </xf>
    <xf numFmtId="43" fontId="77" fillId="19" borderId="0" xfId="0" applyNumberFormat="1" applyFont="1" applyFill="1" applyAlignment="1">
      <alignment vertical="center"/>
    </xf>
    <xf numFmtId="43" fontId="77" fillId="19" borderId="23" xfId="0" applyNumberFormat="1" applyFont="1" applyFill="1" applyBorder="1" applyAlignment="1">
      <alignment vertical="center"/>
    </xf>
    <xf numFmtId="43" fontId="77" fillId="19" borderId="112" xfId="0" applyNumberFormat="1" applyFont="1" applyFill="1" applyBorder="1" applyAlignment="1">
      <alignment vertical="center"/>
    </xf>
    <xf numFmtId="0" fontId="77" fillId="37" borderId="23" xfId="0" applyFont="1" applyFill="1" applyBorder="1" applyAlignment="1">
      <alignment horizontal="center" vertical="center"/>
    </xf>
    <xf numFmtId="0" fontId="77" fillId="37" borderId="46" xfId="0" applyFont="1" applyFill="1" applyBorder="1" applyAlignment="1">
      <alignment horizontal="left" vertical="center" wrapText="1"/>
    </xf>
    <xf numFmtId="43" fontId="77" fillId="37" borderId="46" xfId="0" applyNumberFormat="1" applyFont="1" applyFill="1" applyBorder="1" applyAlignment="1">
      <alignment vertical="center"/>
    </xf>
    <xf numFmtId="43" fontId="77" fillId="37" borderId="0" xfId="0" applyNumberFormat="1" applyFont="1" applyFill="1" applyAlignment="1">
      <alignment vertical="center"/>
    </xf>
    <xf numFmtId="43" fontId="77" fillId="37" borderId="23" xfId="0" applyNumberFormat="1" applyFont="1" applyFill="1" applyBorder="1" applyAlignment="1">
      <alignment vertical="center"/>
    </xf>
    <xf numFmtId="4" fontId="77" fillId="19" borderId="0" xfId="0" applyNumberFormat="1" applyFont="1" applyFill="1" applyAlignment="1">
      <alignment vertical="center"/>
    </xf>
    <xf numFmtId="43" fontId="77" fillId="19" borderId="23" xfId="0" applyNumberFormat="1" applyFont="1" applyFill="1" applyBorder="1"/>
    <xf numFmtId="43" fontId="77" fillId="19" borderId="46" xfId="0" applyNumberFormat="1" applyFont="1" applyFill="1" applyBorder="1"/>
    <xf numFmtId="0" fontId="77" fillId="37" borderId="46" xfId="0" applyFont="1" applyFill="1" applyBorder="1" applyAlignment="1">
      <alignment horizontal="left" vertical="center"/>
    </xf>
    <xf numFmtId="0" fontId="77" fillId="19" borderId="0" xfId="0" applyFont="1" applyFill="1" applyAlignment="1">
      <alignment horizontal="center" vertical="center"/>
    </xf>
    <xf numFmtId="0" fontId="77" fillId="19" borderId="0" xfId="0" applyFont="1" applyFill="1" applyAlignment="1">
      <alignment vertical="center"/>
    </xf>
    <xf numFmtId="0" fontId="77" fillId="19" borderId="0" xfId="0" applyFont="1" applyFill="1" applyAlignment="1">
      <alignment horizontal="left" vertical="center"/>
    </xf>
    <xf numFmtId="9" fontId="86" fillId="0" borderId="40" xfId="1" applyFont="1" applyBorder="1"/>
    <xf numFmtId="9" fontId="86" fillId="0" borderId="0" xfId="0" applyNumberFormat="1" applyFont="1"/>
    <xf numFmtId="173" fontId="0" fillId="9" borderId="83" xfId="8" applyNumberFormat="1" applyFont="1" applyFill="1" applyBorder="1"/>
    <xf numFmtId="0" fontId="1" fillId="38" borderId="0" xfId="9" applyFill="1"/>
    <xf numFmtId="173" fontId="1" fillId="38" borderId="0" xfId="8" applyNumberFormat="1" applyFont="1" applyFill="1"/>
    <xf numFmtId="0" fontId="121" fillId="38" borderId="0" xfId="9" applyFont="1" applyFill="1"/>
    <xf numFmtId="3" fontId="106" fillId="0" borderId="13" xfId="4" applyNumberFormat="1" applyFont="1" applyBorder="1" applyAlignment="1">
      <alignment horizontal="right"/>
    </xf>
    <xf numFmtId="3" fontId="106" fillId="0" borderId="20" xfId="4" applyNumberFormat="1" applyFont="1" applyBorder="1" applyAlignment="1">
      <alignment horizontal="right"/>
    </xf>
    <xf numFmtId="3" fontId="64" fillId="0" borderId="13" xfId="4" applyNumberFormat="1" applyFont="1" applyBorder="1" applyAlignment="1">
      <alignment horizontal="right"/>
    </xf>
    <xf numFmtId="3" fontId="64" fillId="0" borderId="20" xfId="4" applyNumberFormat="1" applyFont="1" applyBorder="1" applyAlignment="1">
      <alignment horizontal="right"/>
    </xf>
    <xf numFmtId="3" fontId="77" fillId="0" borderId="13" xfId="4" applyNumberFormat="1" applyFont="1" applyBorder="1" applyAlignment="1">
      <alignment horizontal="right"/>
    </xf>
    <xf numFmtId="3" fontId="77" fillId="0" borderId="20" xfId="4" applyNumberFormat="1" applyFont="1" applyBorder="1" applyAlignment="1">
      <alignment horizontal="right"/>
    </xf>
    <xf numFmtId="0" fontId="105" fillId="40" borderId="19" xfId="4" applyFont="1" applyFill="1" applyBorder="1"/>
    <xf numFmtId="0" fontId="105" fillId="40" borderId="13" xfId="4" applyFont="1" applyFill="1" applyBorder="1"/>
    <xf numFmtId="0" fontId="105" fillId="28" borderId="19" xfId="4" applyFont="1" applyFill="1" applyBorder="1"/>
    <xf numFmtId="43" fontId="105" fillId="28" borderId="13" xfId="8" applyFont="1" applyFill="1" applyBorder="1" applyAlignment="1">
      <alignment horizontal="right"/>
    </xf>
    <xf numFmtId="43" fontId="105" fillId="28" borderId="20" xfId="8" applyFont="1" applyFill="1" applyBorder="1" applyAlignment="1">
      <alignment horizontal="right"/>
    </xf>
    <xf numFmtId="3" fontId="77" fillId="0" borderId="21" xfId="11" applyNumberFormat="1" applyFont="1" applyBorder="1" applyAlignment="1">
      <alignment horizontal="right"/>
    </xf>
    <xf numFmtId="3" fontId="77" fillId="0" borderId="25" xfId="11" applyNumberFormat="1" applyFont="1" applyBorder="1" applyAlignment="1">
      <alignment horizontal="right"/>
    </xf>
    <xf numFmtId="0" fontId="105" fillId="25" borderId="19" xfId="4" applyFont="1" applyFill="1" applyBorder="1"/>
    <xf numFmtId="0" fontId="105" fillId="25" borderId="13" xfId="4" applyFont="1" applyFill="1" applyBorder="1"/>
    <xf numFmtId="0" fontId="105" fillId="25" borderId="20" xfId="4" applyFont="1" applyFill="1" applyBorder="1"/>
    <xf numFmtId="173" fontId="77" fillId="0" borderId="21" xfId="8" applyNumberFormat="1" applyFont="1" applyBorder="1" applyAlignment="1">
      <alignment horizontal="right"/>
    </xf>
    <xf numFmtId="173" fontId="77" fillId="0" borderId="25" xfId="8" applyNumberFormat="1" applyFont="1" applyBorder="1" applyAlignment="1">
      <alignment horizontal="right"/>
    </xf>
    <xf numFmtId="173" fontId="39" fillId="19" borderId="13" xfId="8" applyNumberFormat="1" applyFont="1" applyFill="1" applyBorder="1" applyAlignment="1">
      <alignment horizontal="center"/>
    </xf>
    <xf numFmtId="173" fontId="40" fillId="19" borderId="13" xfId="8" applyNumberFormat="1" applyFont="1" applyFill="1" applyBorder="1" applyAlignment="1">
      <alignment horizontal="right" vertical="center"/>
    </xf>
    <xf numFmtId="173" fontId="40" fillId="19" borderId="13" xfId="8" applyNumberFormat="1" applyFont="1" applyFill="1" applyBorder="1" applyAlignment="1">
      <alignment vertical="center"/>
    </xf>
    <xf numFmtId="173" fontId="53" fillId="19" borderId="13" xfId="8" applyNumberFormat="1" applyFont="1" applyFill="1" applyBorder="1" applyAlignment="1">
      <alignment horizontal="center"/>
    </xf>
    <xf numFmtId="43" fontId="38" fillId="0" borderId="13" xfId="8" applyFont="1" applyBorder="1"/>
    <xf numFmtId="43" fontId="38" fillId="0" borderId="20" xfId="8" applyFont="1" applyBorder="1"/>
    <xf numFmtId="43" fontId="29" fillId="0" borderId="21" xfId="8" applyFont="1" applyBorder="1"/>
    <xf numFmtId="43" fontId="57" fillId="0" borderId="21" xfId="8" applyFont="1" applyBorder="1"/>
    <xf numFmtId="43" fontId="57" fillId="0" borderId="25" xfId="8" applyFont="1" applyBorder="1"/>
    <xf numFmtId="0" fontId="1" fillId="0" borderId="0" xfId="10" applyAlignment="1">
      <alignment vertical="center" wrapText="1"/>
    </xf>
    <xf numFmtId="165" fontId="1" fillId="0" borderId="0" xfId="11" applyFont="1" applyBorder="1" applyAlignment="1">
      <alignment vertical="center"/>
    </xf>
    <xf numFmtId="0" fontId="12" fillId="30" borderId="74" xfId="10" applyFont="1" applyFill="1" applyBorder="1" applyAlignment="1">
      <alignment horizontal="left" vertical="center"/>
    </xf>
    <xf numFmtId="0" fontId="12" fillId="30" borderId="23" xfId="10" applyFont="1" applyFill="1" applyBorder="1" applyAlignment="1">
      <alignment horizontal="left" vertical="center"/>
    </xf>
    <xf numFmtId="0" fontId="12" fillId="30" borderId="75" xfId="10" applyFont="1" applyFill="1" applyBorder="1" applyAlignment="1">
      <alignment horizontal="right" vertical="center"/>
    </xf>
    <xf numFmtId="0" fontId="77" fillId="0" borderId="0" xfId="0" applyFont="1" applyAlignment="1">
      <alignment vertical="center" wrapText="1"/>
    </xf>
    <xf numFmtId="43" fontId="1" fillId="0" borderId="0" xfId="8" applyFont="1"/>
    <xf numFmtId="173" fontId="0" fillId="0" borderId="20" xfId="8" applyNumberFormat="1" applyFont="1" applyFill="1" applyBorder="1"/>
    <xf numFmtId="0" fontId="7" fillId="41" borderId="16" xfId="15" applyFont="1" applyFill="1" applyBorder="1" applyAlignment="1">
      <alignment horizontal="center"/>
    </xf>
    <xf numFmtId="0" fontId="7" fillId="41" borderId="19" xfId="0" applyFont="1" applyFill="1" applyBorder="1"/>
    <xf numFmtId="0" fontId="7" fillId="0" borderId="13" xfId="0" applyFont="1" applyBorder="1" applyAlignment="1">
      <alignment horizontal="center" wrapText="1"/>
    </xf>
    <xf numFmtId="0" fontId="7" fillId="0" borderId="20" xfId="0" applyFont="1" applyBorder="1" applyAlignment="1">
      <alignment horizontal="center" wrapText="1"/>
    </xf>
    <xf numFmtId="0" fontId="3" fillId="41" borderId="19" xfId="0" applyFont="1" applyFill="1" applyBorder="1"/>
    <xf numFmtId="0" fontId="7" fillId="41" borderId="19" xfId="0" applyFont="1" applyFill="1" applyBorder="1" applyAlignment="1">
      <alignment horizontal="left"/>
    </xf>
    <xf numFmtId="165" fontId="7" fillId="0" borderId="0" xfId="15" applyNumberFormat="1" applyFont="1" applyFill="1" applyBorder="1" applyAlignment="1">
      <alignment horizontal="center"/>
    </xf>
    <xf numFmtId="165" fontId="3" fillId="0" borderId="0" xfId="11" applyFont="1" applyFill="1" applyBorder="1" applyAlignment="1">
      <alignment horizontal="center"/>
    </xf>
    <xf numFmtId="165" fontId="3" fillId="0" borderId="0" xfId="11" applyFont="1" applyFill="1" applyBorder="1"/>
    <xf numFmtId="0" fontId="3" fillId="0" borderId="116" xfId="0" applyFont="1" applyBorder="1" applyAlignment="1">
      <alignment wrapText="1"/>
    </xf>
    <xf numFmtId="165" fontId="3" fillId="0" borderId="81" xfId="0" applyNumberFormat="1" applyFont="1" applyBorder="1" applyAlignment="1">
      <alignment wrapText="1"/>
    </xf>
    <xf numFmtId="0" fontId="3" fillId="0" borderId="117" xfId="0" applyFont="1" applyBorder="1" applyAlignment="1">
      <alignment wrapText="1"/>
    </xf>
    <xf numFmtId="173" fontId="3" fillId="0" borderId="13" xfId="8" applyNumberFormat="1" applyFont="1" applyFill="1" applyBorder="1"/>
    <xf numFmtId="173" fontId="3" fillId="0" borderId="20" xfId="8" applyNumberFormat="1" applyFont="1" applyFill="1" applyBorder="1"/>
    <xf numFmtId="173" fontId="11" fillId="0" borderId="13" xfId="8" applyNumberFormat="1" applyFont="1" applyBorder="1"/>
    <xf numFmtId="173" fontId="7" fillId="0" borderId="13" xfId="8" applyNumberFormat="1" applyFont="1" applyBorder="1"/>
    <xf numFmtId="173" fontId="7" fillId="0" borderId="20" xfId="8" applyNumberFormat="1" applyFont="1" applyBorder="1"/>
    <xf numFmtId="173" fontId="1" fillId="0" borderId="0" xfId="9" applyNumberFormat="1"/>
    <xf numFmtId="0" fontId="53" fillId="30" borderId="114" xfId="0" applyFont="1" applyFill="1" applyBorder="1" applyAlignment="1">
      <alignment horizontal="center" wrapText="1"/>
    </xf>
    <xf numFmtId="173" fontId="64" fillId="22" borderId="29" xfId="0" applyNumberFormat="1" applyFont="1" applyFill="1" applyBorder="1" applyAlignment="1">
      <alignment horizontal="right"/>
    </xf>
    <xf numFmtId="0" fontId="64" fillId="22" borderId="0" xfId="0" applyFont="1" applyFill="1" applyAlignment="1">
      <alignment vertical="center"/>
    </xf>
    <xf numFmtId="0" fontId="117" fillId="22" borderId="31" xfId="0" applyFont="1" applyFill="1" applyBorder="1" applyAlignment="1">
      <alignment vertical="center" wrapText="1"/>
    </xf>
    <xf numFmtId="0" fontId="53" fillId="22" borderId="41" xfId="0" applyFont="1" applyFill="1" applyBorder="1" applyAlignment="1">
      <alignment horizontal="left"/>
    </xf>
    <xf numFmtId="0" fontId="53" fillId="22" borderId="42" xfId="0" applyFont="1" applyFill="1" applyBorder="1"/>
    <xf numFmtId="173" fontId="147" fillId="22" borderId="43" xfId="0" applyNumberFormat="1" applyFont="1" applyFill="1" applyBorder="1"/>
    <xf numFmtId="0" fontId="149" fillId="42" borderId="119" xfId="0" applyFont="1" applyFill="1" applyBorder="1" applyAlignment="1">
      <alignment vertical="center" wrapText="1"/>
    </xf>
    <xf numFmtId="0" fontId="149" fillId="42" borderId="120" xfId="0" applyFont="1" applyFill="1" applyBorder="1" applyAlignment="1">
      <alignment vertical="center" wrapText="1"/>
    </xf>
    <xf numFmtId="0" fontId="150" fillId="34" borderId="121" xfId="0" applyFont="1" applyFill="1" applyBorder="1" applyAlignment="1">
      <alignment vertical="center" wrapText="1"/>
    </xf>
    <xf numFmtId="0" fontId="103" fillId="0" borderId="122" xfId="0" applyFont="1" applyBorder="1" applyAlignment="1">
      <alignment vertical="center" wrapText="1"/>
    </xf>
    <xf numFmtId="10" fontId="103" fillId="0" borderId="122" xfId="0" applyNumberFormat="1" applyFont="1" applyBorder="1" applyAlignment="1">
      <alignment vertical="center" wrapText="1"/>
    </xf>
    <xf numFmtId="164" fontId="103" fillId="0" borderId="122" xfId="0" applyNumberFormat="1" applyFont="1" applyBorder="1" applyAlignment="1">
      <alignment vertical="center" wrapText="1"/>
    </xf>
    <xf numFmtId="0" fontId="150" fillId="22" borderId="0" xfId="0" applyFont="1" applyFill="1" applyAlignment="1">
      <alignment vertical="center" wrapText="1"/>
    </xf>
    <xf numFmtId="0" fontId="103" fillId="22" borderId="0" xfId="0" applyFont="1" applyFill="1" applyAlignment="1">
      <alignment vertical="center" wrapText="1"/>
    </xf>
    <xf numFmtId="173" fontId="147" fillId="22" borderId="0" xfId="0" applyNumberFormat="1" applyFont="1" applyFill="1"/>
    <xf numFmtId="0" fontId="150" fillId="34" borderId="122" xfId="0" applyFont="1" applyFill="1" applyBorder="1" applyAlignment="1">
      <alignment vertical="center" wrapText="1"/>
    </xf>
    <xf numFmtId="0" fontId="151" fillId="0" borderId="0" xfId="0" applyFont="1" applyAlignment="1">
      <alignment horizontal="center" vertical="center"/>
    </xf>
    <xf numFmtId="0" fontId="152" fillId="0" borderId="0" xfId="0" applyFont="1" applyAlignment="1">
      <alignment horizontal="center" vertical="center"/>
    </xf>
    <xf numFmtId="0" fontId="153" fillId="0" borderId="0" xfId="0" applyFont="1"/>
    <xf numFmtId="0" fontId="39" fillId="22" borderId="76" xfId="0" applyFont="1" applyFill="1" applyBorder="1" applyAlignment="1">
      <alignment horizontal="center"/>
    </xf>
    <xf numFmtId="0" fontId="103" fillId="0" borderId="77" xfId="0" applyFont="1" applyBorder="1"/>
    <xf numFmtId="0" fontId="103" fillId="0" borderId="28" xfId="0" applyFont="1" applyBorder="1"/>
    <xf numFmtId="0" fontId="39" fillId="22" borderId="78" xfId="0" applyFont="1" applyFill="1" applyBorder="1" applyAlignment="1">
      <alignment horizontal="center"/>
    </xf>
    <xf numFmtId="0" fontId="149" fillId="42" borderId="123" xfId="0" applyFont="1" applyFill="1" applyBorder="1" applyAlignment="1">
      <alignment vertical="center" wrapText="1"/>
    </xf>
    <xf numFmtId="0" fontId="103" fillId="0" borderId="124" xfId="0" applyFont="1" applyBorder="1" applyAlignment="1">
      <alignment vertical="center" wrapText="1"/>
    </xf>
    <xf numFmtId="0" fontId="103" fillId="0" borderId="79" xfId="0" applyFont="1" applyBorder="1"/>
    <xf numFmtId="0" fontId="39" fillId="22" borderId="80" xfId="0" applyFont="1" applyFill="1" applyBorder="1" applyAlignment="1">
      <alignment horizontal="center"/>
    </xf>
    <xf numFmtId="0" fontId="150" fillId="34" borderId="125" xfId="0" applyFont="1" applyFill="1" applyBorder="1" applyAlignment="1">
      <alignment vertical="center" wrapText="1"/>
    </xf>
    <xf numFmtId="0" fontId="103" fillId="0" borderId="126" xfId="0" applyFont="1" applyBorder="1" applyAlignment="1">
      <alignment vertical="center" wrapText="1"/>
    </xf>
    <xf numFmtId="0" fontId="103" fillId="0" borderId="47" xfId="0" applyFont="1" applyBorder="1" applyAlignment="1">
      <alignment vertical="center" wrapText="1"/>
    </xf>
    <xf numFmtId="0" fontId="150" fillId="22" borderId="119" xfId="0" applyFont="1" applyFill="1" applyBorder="1" applyAlignment="1">
      <alignment vertical="center" wrapText="1"/>
    </xf>
    <xf numFmtId="0" fontId="103" fillId="22" borderId="120" xfId="0" applyFont="1" applyFill="1" applyBorder="1" applyAlignment="1">
      <alignment vertical="center" wrapText="1"/>
    </xf>
    <xf numFmtId="0" fontId="103" fillId="22" borderId="124" xfId="0" applyFont="1" applyFill="1" applyBorder="1" applyAlignment="1">
      <alignment vertical="center" wrapText="1"/>
    </xf>
    <xf numFmtId="0" fontId="150" fillId="22" borderId="121" xfId="0" applyFont="1" applyFill="1" applyBorder="1" applyAlignment="1">
      <alignment vertical="center" wrapText="1"/>
    </xf>
    <xf numFmtId="0" fontId="103" fillId="22" borderId="122" xfId="0" applyFont="1" applyFill="1" applyBorder="1" applyAlignment="1">
      <alignment vertical="center" wrapText="1"/>
    </xf>
    <xf numFmtId="10" fontId="103" fillId="0" borderId="122" xfId="0" applyNumberFormat="1" applyFont="1" applyBorder="1" applyAlignment="1">
      <alignment horizontal="left" vertical="center" wrapText="1"/>
    </xf>
    <xf numFmtId="0" fontId="103" fillId="0" borderId="122" xfId="0" applyFont="1" applyBorder="1" applyAlignment="1">
      <alignment horizontal="left" vertical="center" wrapText="1"/>
    </xf>
    <xf numFmtId="0" fontId="103" fillId="0" borderId="124" xfId="0" applyFont="1" applyBorder="1" applyAlignment="1">
      <alignment horizontal="left" vertical="center" wrapText="1"/>
    </xf>
    <xf numFmtId="0" fontId="155" fillId="0" borderId="0" xfId="0" applyFont="1" applyAlignment="1">
      <alignment horizontal="left" vertical="center"/>
    </xf>
    <xf numFmtId="0" fontId="131" fillId="30" borderId="13" xfId="2" applyFont="1" applyFill="1" applyBorder="1" applyAlignment="1">
      <alignment horizontal="center"/>
    </xf>
    <xf numFmtId="0" fontId="105" fillId="18" borderId="13" xfId="2" applyFont="1" applyFill="1" applyBorder="1" applyAlignment="1">
      <alignment horizontal="center"/>
    </xf>
    <xf numFmtId="0" fontId="106" fillId="18" borderId="13" xfId="2" applyFont="1" applyFill="1" applyBorder="1" applyAlignment="1">
      <alignment horizontal="center"/>
    </xf>
    <xf numFmtId="0" fontId="105" fillId="18" borderId="40" xfId="0" applyFont="1" applyFill="1" applyBorder="1" applyAlignment="1">
      <alignment horizontal="center"/>
    </xf>
    <xf numFmtId="0" fontId="105" fillId="18" borderId="23" xfId="0" applyFont="1" applyFill="1" applyBorder="1" applyAlignment="1">
      <alignment horizontal="center"/>
    </xf>
    <xf numFmtId="0" fontId="105" fillId="18" borderId="29" xfId="0" applyFont="1" applyFill="1" applyBorder="1" applyAlignment="1">
      <alignment horizontal="center"/>
    </xf>
    <xf numFmtId="0" fontId="105" fillId="18" borderId="112" xfId="0" applyFont="1" applyFill="1" applyBorder="1" applyAlignment="1">
      <alignment horizontal="center"/>
    </xf>
    <xf numFmtId="0" fontId="105" fillId="20" borderId="13" xfId="2" applyFont="1" applyFill="1" applyBorder="1" applyAlignment="1">
      <alignment horizontal="center"/>
    </xf>
    <xf numFmtId="0" fontId="106" fillId="20" borderId="13" xfId="2" applyFont="1" applyFill="1" applyBorder="1" applyAlignment="1">
      <alignment horizontal="center"/>
    </xf>
    <xf numFmtId="15" fontId="12" fillId="30" borderId="17" xfId="9" quotePrefix="1" applyNumberFormat="1" applyFont="1" applyFill="1" applyBorder="1" applyAlignment="1">
      <alignment horizontal="center"/>
    </xf>
    <xf numFmtId="0" fontId="12" fillId="30" borderId="18" xfId="9" applyFont="1" applyFill="1" applyBorder="1" applyAlignment="1">
      <alignment horizontal="center"/>
    </xf>
    <xf numFmtId="0" fontId="12" fillId="30" borderId="17" xfId="9" applyFont="1" applyFill="1" applyBorder="1" applyAlignment="1">
      <alignment horizontal="center"/>
    </xf>
    <xf numFmtId="0" fontId="7" fillId="41" borderId="114" xfId="15" applyFont="1" applyFill="1" applyBorder="1" applyAlignment="1">
      <alignment horizontal="center"/>
    </xf>
    <xf numFmtId="0" fontId="7" fillId="41" borderId="115" xfId="15" applyFont="1" applyFill="1" applyBorder="1" applyAlignment="1">
      <alignment horizontal="center"/>
    </xf>
    <xf numFmtId="0" fontId="7" fillId="41" borderId="13" xfId="0" applyFont="1" applyFill="1" applyBorder="1" applyAlignment="1">
      <alignment horizontal="center"/>
    </xf>
    <xf numFmtId="0" fontId="7" fillId="41" borderId="13" xfId="15" applyFont="1" applyFill="1" applyBorder="1" applyAlignment="1">
      <alignment horizontal="center"/>
    </xf>
    <xf numFmtId="0" fontId="7" fillId="41" borderId="20" xfId="15" applyFont="1" applyFill="1" applyBorder="1" applyAlignment="1">
      <alignment horizontal="center"/>
    </xf>
    <xf numFmtId="0" fontId="146" fillId="22" borderId="118" xfId="0" applyFont="1" applyFill="1" applyBorder="1" applyAlignment="1">
      <alignment horizontal="left" wrapText="1"/>
    </xf>
    <xf numFmtId="0" fontId="146" fillId="22" borderId="117" xfId="0" applyFont="1" applyFill="1" applyBorder="1" applyAlignment="1">
      <alignment horizontal="left" wrapText="1"/>
    </xf>
    <xf numFmtId="0" fontId="146" fillId="22" borderId="82" xfId="0" applyFont="1" applyFill="1" applyBorder="1" applyAlignment="1">
      <alignment horizontal="left" wrapText="1"/>
    </xf>
    <xf numFmtId="0" fontId="12" fillId="0" borderId="48" xfId="9" applyFont="1" applyBorder="1" applyAlignment="1">
      <alignment horizontal="center" vertical="center" wrapText="1"/>
    </xf>
    <xf numFmtId="0" fontId="12" fillId="0" borderId="34" xfId="9" applyFont="1" applyBorder="1" applyAlignment="1">
      <alignment horizontal="center" vertical="center" wrapText="1"/>
    </xf>
    <xf numFmtId="0" fontId="12" fillId="0" borderId="56" xfId="9" applyFont="1" applyBorder="1" applyAlignment="1">
      <alignment horizontal="center" vertical="center" wrapText="1"/>
    </xf>
    <xf numFmtId="0" fontId="12" fillId="0" borderId="62" xfId="9" applyFont="1" applyBorder="1" applyAlignment="1">
      <alignment horizontal="center" vertical="center" wrapText="1"/>
    </xf>
    <xf numFmtId="0" fontId="12" fillId="0" borderId="50" xfId="9" applyFont="1" applyBorder="1" applyAlignment="1">
      <alignment horizontal="center" vertical="center" wrapText="1"/>
    </xf>
    <xf numFmtId="0" fontId="12" fillId="0" borderId="52" xfId="9" applyFont="1" applyBorder="1" applyAlignment="1">
      <alignment horizontal="center" vertical="center" wrapText="1"/>
    </xf>
    <xf numFmtId="0" fontId="12" fillId="0" borderId="54" xfId="9" applyFont="1" applyBorder="1" applyAlignment="1">
      <alignment horizontal="center" vertical="center" wrapText="1"/>
    </xf>
    <xf numFmtId="0" fontId="12" fillId="0" borderId="0" xfId="10" applyFont="1" applyAlignment="1">
      <alignment horizontal="center" vertical="center"/>
    </xf>
    <xf numFmtId="0" fontId="123" fillId="0" borderId="0" xfId="10" applyFont="1" applyAlignment="1">
      <alignment horizontal="center" vertical="center" wrapText="1"/>
    </xf>
    <xf numFmtId="0" fontId="77" fillId="0" borderId="104" xfId="0" applyFont="1" applyBorder="1" applyAlignment="1">
      <alignment horizontal="left" vertical="center" wrapText="1"/>
    </xf>
    <xf numFmtId="0" fontId="77" fillId="0" borderId="105" xfId="0" applyFont="1" applyBorder="1" applyAlignment="1">
      <alignment horizontal="left" vertical="center" wrapText="1"/>
    </xf>
    <xf numFmtId="0" fontId="77" fillId="34" borderId="104" xfId="0" applyFont="1" applyFill="1" applyBorder="1" applyAlignment="1">
      <alignment horizontal="left" vertical="center" wrapText="1"/>
    </xf>
    <xf numFmtId="0" fontId="77" fillId="34" borderId="105" xfId="0" applyFont="1" applyFill="1" applyBorder="1" applyAlignment="1">
      <alignment horizontal="left" vertical="center" wrapText="1"/>
    </xf>
    <xf numFmtId="10" fontId="64" fillId="34" borderId="104" xfId="0" applyNumberFormat="1" applyFont="1" applyFill="1" applyBorder="1" applyAlignment="1">
      <alignment horizontal="left" vertical="center" wrapText="1"/>
    </xf>
    <xf numFmtId="10" fontId="64" fillId="34" borderId="105" xfId="0" applyNumberFormat="1" applyFont="1" applyFill="1" applyBorder="1" applyAlignment="1">
      <alignment horizontal="left" vertical="center" wrapText="1"/>
    </xf>
    <xf numFmtId="9" fontId="64" fillId="34" borderId="104" xfId="0" applyNumberFormat="1" applyFont="1" applyFill="1" applyBorder="1" applyAlignment="1">
      <alignment horizontal="left" vertical="center" wrapText="1"/>
    </xf>
    <xf numFmtId="9" fontId="64" fillId="34" borderId="105" xfId="0" applyNumberFormat="1" applyFont="1" applyFill="1" applyBorder="1" applyAlignment="1">
      <alignment horizontal="left" vertical="center" wrapText="1"/>
    </xf>
    <xf numFmtId="0" fontId="64" fillId="34" borderId="104" xfId="0" applyFont="1" applyFill="1" applyBorder="1" applyAlignment="1">
      <alignment horizontal="left" vertical="center" wrapText="1"/>
    </xf>
    <xf numFmtId="0" fontId="64" fillId="34" borderId="105" xfId="0" applyFont="1" applyFill="1" applyBorder="1" applyAlignment="1">
      <alignment horizontal="left" vertical="center" wrapText="1"/>
    </xf>
    <xf numFmtId="0" fontId="64" fillId="0" borderId="104" xfId="0" applyFont="1" applyBorder="1" applyAlignment="1">
      <alignment horizontal="left" vertical="center" wrapText="1"/>
    </xf>
    <xf numFmtId="0" fontId="64" fillId="0" borderId="105" xfId="0" applyFont="1" applyBorder="1" applyAlignment="1">
      <alignment horizontal="left" vertical="center" wrapText="1"/>
    </xf>
    <xf numFmtId="0" fontId="77" fillId="0" borderId="109" xfId="0" applyFont="1" applyBorder="1" applyAlignment="1">
      <alignment horizontal="left" vertical="center" wrapText="1"/>
    </xf>
    <xf numFmtId="0" fontId="64" fillId="0" borderId="109" xfId="0" applyFont="1" applyBorder="1" applyAlignment="1">
      <alignment horizontal="left" vertical="center" wrapText="1"/>
    </xf>
    <xf numFmtId="0" fontId="137" fillId="0" borderId="104" xfId="0" applyFont="1" applyBorder="1" applyAlignment="1">
      <alignment horizontal="center" vertical="center" wrapText="1"/>
    </xf>
    <xf numFmtId="0" fontId="137" fillId="0" borderId="105" xfId="0" applyFont="1" applyBorder="1" applyAlignment="1">
      <alignment horizontal="center" vertical="center" wrapText="1"/>
    </xf>
    <xf numFmtId="0" fontId="137" fillId="0" borderId="104" xfId="0" applyFont="1" applyBorder="1" applyAlignment="1">
      <alignment vertical="center" wrapText="1"/>
    </xf>
    <xf numFmtId="0" fontId="137" fillId="0" borderId="105" xfId="0" applyFont="1" applyBorder="1" applyAlignment="1">
      <alignment vertical="center" wrapText="1"/>
    </xf>
    <xf numFmtId="0" fontId="136" fillId="0" borderId="104" xfId="0" applyFont="1" applyBorder="1" applyAlignment="1">
      <alignment vertical="center" wrapText="1"/>
    </xf>
    <xf numFmtId="0" fontId="136" fillId="0" borderId="105" xfId="0" applyFont="1" applyBorder="1" applyAlignment="1">
      <alignment vertical="center" wrapText="1"/>
    </xf>
    <xf numFmtId="0" fontId="137" fillId="34" borderId="104" xfId="0" applyFont="1" applyFill="1" applyBorder="1" applyAlignment="1">
      <alignment vertical="center" wrapText="1"/>
    </xf>
    <xf numFmtId="0" fontId="137" fillId="34" borderId="105" xfId="0" applyFont="1" applyFill="1" applyBorder="1" applyAlignment="1">
      <alignment vertical="center" wrapText="1"/>
    </xf>
    <xf numFmtId="0" fontId="136" fillId="34" borderId="104" xfId="0" applyFont="1" applyFill="1" applyBorder="1" applyAlignment="1">
      <alignment vertical="center" wrapText="1"/>
    </xf>
    <xf numFmtId="0" fontId="136" fillId="34" borderId="105" xfId="0" applyFont="1" applyFill="1" applyBorder="1" applyAlignment="1">
      <alignment vertical="center" wrapText="1"/>
    </xf>
    <xf numFmtId="10" fontId="136" fillId="0" borderId="104" xfId="0" applyNumberFormat="1" applyFont="1" applyBorder="1" applyAlignment="1">
      <alignment vertical="center" wrapText="1"/>
    </xf>
    <xf numFmtId="10" fontId="136" fillId="0" borderId="105" xfId="0" applyNumberFormat="1" applyFont="1" applyBorder="1" applyAlignment="1">
      <alignment vertical="center" wrapText="1"/>
    </xf>
    <xf numFmtId="10" fontId="136" fillId="34" borderId="104" xfId="0" applyNumberFormat="1" applyFont="1" applyFill="1" applyBorder="1" applyAlignment="1">
      <alignment vertical="center" wrapText="1"/>
    </xf>
    <xf numFmtId="10" fontId="136" fillId="34" borderId="105" xfId="0" applyNumberFormat="1" applyFont="1" applyFill="1" applyBorder="1" applyAlignment="1">
      <alignment vertical="center" wrapText="1"/>
    </xf>
    <xf numFmtId="0" fontId="137" fillId="0" borderId="109" xfId="0" applyFont="1" applyBorder="1" applyAlignment="1">
      <alignment vertical="center" wrapText="1"/>
    </xf>
    <xf numFmtId="0" fontId="136" fillId="0" borderId="109" xfId="0" applyFont="1" applyBorder="1" applyAlignment="1">
      <alignment vertical="center" wrapText="1"/>
    </xf>
    <xf numFmtId="0" fontId="143" fillId="34" borderId="104" xfId="0" applyFont="1" applyFill="1" applyBorder="1" applyAlignment="1">
      <alignment vertical="center" wrapText="1"/>
    </xf>
    <xf numFmtId="0" fontId="143" fillId="34" borderId="105" xfId="0" applyFont="1" applyFill="1" applyBorder="1" applyAlignment="1">
      <alignment vertical="center" wrapText="1"/>
    </xf>
    <xf numFmtId="164" fontId="136" fillId="34" borderId="104" xfId="0" applyNumberFormat="1" applyFont="1" applyFill="1" applyBorder="1" applyAlignment="1">
      <alignment vertical="center" wrapText="1"/>
    </xf>
    <xf numFmtId="164" fontId="136" fillId="34" borderId="105" xfId="0" applyNumberFormat="1" applyFont="1" applyFill="1" applyBorder="1" applyAlignment="1">
      <alignment vertical="center" wrapText="1"/>
    </xf>
    <xf numFmtId="164" fontId="136" fillId="0" borderId="104" xfId="0" applyNumberFormat="1" applyFont="1" applyBorder="1" applyAlignment="1">
      <alignment vertical="center" wrapText="1"/>
    </xf>
    <xf numFmtId="164" fontId="136" fillId="0" borderId="105" xfId="0" applyNumberFormat="1" applyFont="1" applyBorder="1" applyAlignment="1">
      <alignment vertical="center" wrapText="1"/>
    </xf>
    <xf numFmtId="0" fontId="34" fillId="0" borderId="13" xfId="2" applyFont="1" applyBorder="1" applyAlignment="1">
      <alignment horizontal="center" wrapText="1"/>
    </xf>
    <xf numFmtId="0" fontId="34" fillId="8" borderId="13" xfId="2" applyFont="1" applyFill="1" applyBorder="1" applyAlignment="1">
      <alignment horizontal="center"/>
    </xf>
    <xf numFmtId="165" fontId="34" fillId="10" borderId="13" xfId="3" applyFont="1" applyFill="1" applyBorder="1" applyAlignment="1">
      <alignment horizontal="center" wrapText="1"/>
    </xf>
    <xf numFmtId="0" fontId="34" fillId="0" borderId="0" xfId="2" applyFont="1" applyAlignment="1">
      <alignment horizontal="center" wrapText="1"/>
    </xf>
    <xf numFmtId="0" fontId="30" fillId="0" borderId="0" xfId="2" applyFont="1" applyAlignment="1">
      <alignment horizontal="center" wrapText="1"/>
    </xf>
    <xf numFmtId="0" fontId="30" fillId="0" borderId="13" xfId="2" applyFont="1" applyBorder="1" applyAlignment="1">
      <alignment horizontal="center" wrapText="1"/>
    </xf>
    <xf numFmtId="0" fontId="30" fillId="8" borderId="13" xfId="2" applyFont="1" applyFill="1" applyBorder="1" applyAlignment="1">
      <alignment horizontal="center"/>
    </xf>
    <xf numFmtId="165" fontId="30" fillId="10" borderId="13" xfId="3" applyFont="1" applyFill="1" applyBorder="1" applyAlignment="1">
      <alignment horizontal="center" wrapText="1"/>
    </xf>
    <xf numFmtId="0" fontId="3" fillId="0" borderId="8" xfId="0" applyFont="1" applyBorder="1" applyAlignment="1">
      <alignment wrapText="1"/>
    </xf>
    <xf numFmtId="0" fontId="3" fillId="0" borderId="5" xfId="0" applyFont="1" applyBorder="1" applyAlignment="1">
      <alignment wrapText="1"/>
    </xf>
    <xf numFmtId="0" fontId="3" fillId="0" borderId="0" xfId="0" applyFont="1" applyAlignment="1">
      <alignment wrapText="1"/>
    </xf>
    <xf numFmtId="0" fontId="54" fillId="0" borderId="13" xfId="2" applyFont="1" applyBorder="1" applyAlignment="1">
      <alignment horizontal="center"/>
    </xf>
    <xf numFmtId="0" fontId="14" fillId="0" borderId="0" xfId="4" applyFont="1" applyAlignment="1">
      <alignment horizontal="left" vertical="center"/>
    </xf>
    <xf numFmtId="0" fontId="15" fillId="0" borderId="0" xfId="4" applyFont="1" applyAlignment="1">
      <alignment horizontal="left" vertical="center" wrapText="1"/>
    </xf>
    <xf numFmtId="0" fontId="19" fillId="4" borderId="0" xfId="4" applyFont="1" applyFill="1" applyAlignment="1">
      <alignment horizontal="left" vertical="center" wrapText="1"/>
    </xf>
    <xf numFmtId="0" fontId="20" fillId="0" borderId="0" xfId="4" applyFont="1" applyAlignment="1">
      <alignment horizontal="left" vertical="center" wrapText="1"/>
    </xf>
    <xf numFmtId="0" fontId="13" fillId="0" borderId="0" xfId="4" applyAlignment="1">
      <alignment horizontal="center"/>
    </xf>
    <xf numFmtId="0" fontId="65" fillId="0" borderId="0" xfId="4" applyFont="1" applyAlignment="1">
      <alignment horizontal="center" vertical="center" wrapText="1"/>
    </xf>
    <xf numFmtId="0" fontId="67" fillId="25" borderId="41" xfId="4" applyFont="1" applyFill="1" applyBorder="1" applyAlignment="1">
      <alignment horizontal="left"/>
    </xf>
    <xf numFmtId="0" fontId="67" fillId="25" borderId="42" xfId="4" applyFont="1" applyFill="1" applyBorder="1" applyAlignment="1">
      <alignment horizontal="left"/>
    </xf>
    <xf numFmtId="0" fontId="67" fillId="25" borderId="43" xfId="4" applyFont="1" applyFill="1" applyBorder="1" applyAlignment="1">
      <alignment horizontal="left"/>
    </xf>
    <xf numFmtId="0" fontId="46" fillId="0" borderId="44" xfId="13" applyFont="1" applyBorder="1" applyAlignment="1">
      <alignment horizontal="center" vertical="center" wrapText="1"/>
    </xf>
    <xf numFmtId="0" fontId="40" fillId="0" borderId="44" xfId="13" applyBorder="1" applyAlignment="1">
      <alignment horizontal="center" vertical="center" wrapText="1"/>
    </xf>
    <xf numFmtId="0" fontId="41" fillId="23" borderId="0" xfId="13" applyFont="1" applyFill="1" applyAlignment="1">
      <alignment horizontal="center" vertical="center"/>
    </xf>
    <xf numFmtId="0" fontId="46" fillId="0" borderId="39" xfId="13" applyFont="1" applyBorder="1" applyAlignment="1">
      <alignment horizontal="center" vertical="center" wrapText="1"/>
    </xf>
    <xf numFmtId="0" fontId="62" fillId="0" borderId="13" xfId="10" applyFont="1" applyBorder="1" applyAlignment="1">
      <alignment horizontal="center" wrapText="1"/>
    </xf>
    <xf numFmtId="0" fontId="23" fillId="17" borderId="26" xfId="6" applyFont="1" applyFill="1" applyBorder="1" applyAlignment="1">
      <alignment horizontal="center"/>
    </xf>
    <xf numFmtId="0" fontId="23" fillId="17" borderId="27" xfId="6" applyFont="1" applyFill="1" applyBorder="1" applyAlignment="1">
      <alignment horizontal="center"/>
    </xf>
    <xf numFmtId="0" fontId="23" fillId="17" borderId="28" xfId="6" applyFont="1" applyFill="1" applyBorder="1" applyAlignment="1">
      <alignment horizontal="center"/>
    </xf>
    <xf numFmtId="0" fontId="24" fillId="0" borderId="31" xfId="6" applyFont="1" applyBorder="1" applyAlignment="1">
      <alignment horizontal="right"/>
    </xf>
    <xf numFmtId="0" fontId="24" fillId="0" borderId="22" xfId="6" applyFont="1" applyBorder="1" applyAlignment="1">
      <alignment horizontal="right"/>
    </xf>
    <xf numFmtId="0" fontId="24" fillId="0" borderId="32" xfId="6" applyFont="1" applyBorder="1" applyAlignment="1">
      <alignment horizontal="center" wrapText="1"/>
    </xf>
    <xf numFmtId="0" fontId="24" fillId="0" borderId="15" xfId="6" applyFont="1" applyBorder="1" applyAlignment="1">
      <alignment horizontal="center" wrapText="1"/>
    </xf>
    <xf numFmtId="0" fontId="22" fillId="0" borderId="34" xfId="6" applyBorder="1" applyAlignment="1">
      <alignment horizontal="center" wrapText="1"/>
    </xf>
    <xf numFmtId="0" fontId="22" fillId="0" borderId="36" xfId="6" applyBorder="1" applyAlignment="1">
      <alignment horizontal="center" wrapText="1"/>
    </xf>
    <xf numFmtId="0" fontId="15" fillId="0" borderId="0" xfId="4" applyFont="1" applyAlignment="1">
      <alignment horizontal="left" vertical="center"/>
    </xf>
    <xf numFmtId="0" fontId="8" fillId="0" borderId="8" xfId="0" applyFont="1" applyBorder="1" applyAlignment="1"/>
    <xf numFmtId="0" fontId="8" fillId="0" borderId="9" xfId="0" applyFont="1" applyBorder="1" applyAlignment="1"/>
    <xf numFmtId="0" fontId="0" fillId="0" borderId="0" xfId="0" applyAlignment="1"/>
    <xf numFmtId="0" fontId="8" fillId="0" borderId="6" xfId="0" applyFont="1" applyBorder="1" applyAlignment="1"/>
    <xf numFmtId="0" fontId="67" fillId="25" borderId="19" xfId="4" applyFont="1" applyFill="1" applyBorder="1" applyAlignment="1"/>
    <xf numFmtId="0" fontId="67" fillId="25" borderId="13" xfId="4" applyFont="1" applyFill="1" applyBorder="1" applyAlignment="1"/>
    <xf numFmtId="0" fontId="67" fillId="25" borderId="20" xfId="4" applyFont="1" applyFill="1" applyBorder="1" applyAlignment="1"/>
  </cellXfs>
  <cellStyles count="16">
    <cellStyle name="Check Cell" xfId="15" builtinId="23"/>
    <cellStyle name="Comma" xfId="8" builtinId="3"/>
    <cellStyle name="Comma 2" xfId="3" xr:uid="{8EE8F772-8DA4-47BD-8FFC-D1781B9D0475}"/>
    <cellStyle name="Comma 3" xfId="7" xr:uid="{2B37BFD7-EF08-48A2-A304-A5AECA9F5185}"/>
    <cellStyle name="Comma 4" xfId="11" xr:uid="{53FE4BA0-C112-4312-AE3C-337198097086}"/>
    <cellStyle name="Comma 7" xfId="14" xr:uid="{ADAC43E0-5760-4C42-A3EE-AE43BB1D80B6}"/>
    <cellStyle name="Normal" xfId="0" builtinId="0"/>
    <cellStyle name="Normal 2" xfId="2" xr:uid="{D73F0763-ECE5-4435-93ED-3AEE55383635}"/>
    <cellStyle name="Normal 2 2" xfId="4" xr:uid="{62E1C9EF-5EF3-4D3C-992A-8118A494A022}"/>
    <cellStyle name="Normal 2 3" xfId="10" xr:uid="{5B040185-AC5B-4CBD-B49C-3FF3D36EB109}"/>
    <cellStyle name="Normal 3" xfId="6" xr:uid="{6B412175-A277-493E-9F39-DA911E7A6B82}"/>
    <cellStyle name="Normal 4" xfId="9" xr:uid="{1165B1DA-A2A4-4A29-BA93-F2F8884590CF}"/>
    <cellStyle name="Normal 5" xfId="13" xr:uid="{F77D333D-1E00-43C5-BE09-AD36DCEBA204}"/>
    <cellStyle name="Percent" xfId="1" builtinId="5"/>
    <cellStyle name="Percent 2" xfId="5" xr:uid="{AFEF1E48-3AA6-4116-8CD5-C9EF96B8A8E5}"/>
    <cellStyle name="Percent 3" xfId="12" xr:uid="{DC9F478B-4F2B-49BF-B19F-706B7E07DD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3.xml"/><Relationship Id="rId21" Type="http://schemas.openxmlformats.org/officeDocument/2006/relationships/worksheet" Target="worksheets/sheet21.xml"/><Relationship Id="rId34" Type="http://schemas.openxmlformats.org/officeDocument/2006/relationships/externalLink" Target="externalLinks/externalLink8.xml"/><Relationship Id="rId42" Type="http://schemas.openxmlformats.org/officeDocument/2006/relationships/externalLink" Target="externalLinks/externalLink16.xml"/><Relationship Id="rId47" Type="http://schemas.openxmlformats.org/officeDocument/2006/relationships/externalLink" Target="externalLinks/externalLink21.xml"/><Relationship Id="rId50" Type="http://schemas.openxmlformats.org/officeDocument/2006/relationships/externalLink" Target="externalLinks/externalLink24.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3.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6.xml"/><Relationship Id="rId37" Type="http://schemas.openxmlformats.org/officeDocument/2006/relationships/externalLink" Target="externalLinks/externalLink11.xml"/><Relationship Id="rId40" Type="http://schemas.openxmlformats.org/officeDocument/2006/relationships/externalLink" Target="externalLinks/externalLink14.xml"/><Relationship Id="rId45" Type="http://schemas.openxmlformats.org/officeDocument/2006/relationships/externalLink" Target="externalLinks/externalLink19.xml"/><Relationship Id="rId53" Type="http://schemas.openxmlformats.org/officeDocument/2006/relationships/theme" Target="theme/theme1.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externalLink" Target="externalLinks/externalLink9.xml"/><Relationship Id="rId43" Type="http://schemas.openxmlformats.org/officeDocument/2006/relationships/externalLink" Target="externalLinks/externalLink17.xml"/><Relationship Id="rId48" Type="http://schemas.openxmlformats.org/officeDocument/2006/relationships/externalLink" Target="externalLinks/externalLink22.xml"/><Relationship Id="rId56" Type="http://schemas.microsoft.com/office/2017/10/relationships/person" Target="persons/person.xml"/><Relationship Id="rId8" Type="http://schemas.openxmlformats.org/officeDocument/2006/relationships/worksheet" Target="worksheets/sheet8.xml"/><Relationship Id="rId51" Type="http://schemas.openxmlformats.org/officeDocument/2006/relationships/externalLink" Target="externalLinks/externalLink2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7.xml"/><Relationship Id="rId38" Type="http://schemas.openxmlformats.org/officeDocument/2006/relationships/externalLink" Target="externalLinks/externalLink12.xml"/><Relationship Id="rId46" Type="http://schemas.openxmlformats.org/officeDocument/2006/relationships/externalLink" Target="externalLinks/externalLink20.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externalLink" Target="externalLinks/externalLink15.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externalLink" Target="externalLinks/externalLink10.xml"/><Relationship Id="rId49" Type="http://schemas.openxmlformats.org/officeDocument/2006/relationships/externalLink" Target="externalLinks/externalLink23.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externalLink" Target="externalLinks/externalLink5.xml"/><Relationship Id="rId44" Type="http://schemas.openxmlformats.org/officeDocument/2006/relationships/externalLink" Target="externalLinks/externalLink18.xml"/><Relationship Id="rId52" Type="http://schemas.openxmlformats.org/officeDocument/2006/relationships/externalLink" Target="externalLinks/externalLink26.xml"/><Relationship Id="rId60"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Additional Allocation Since Subsidy Removal (₦'bn)</a:t>
            </a:r>
          </a:p>
        </c:rich>
      </c:tx>
      <c:overlay val="0"/>
      <c:spPr>
        <a:noFill/>
        <a:ln w="0">
          <a:noFill/>
        </a:ln>
      </c:spPr>
    </c:title>
    <c:autoTitleDeleted val="0"/>
    <c:plotArea>
      <c:layout/>
      <c:barChart>
        <c:barDir val="bar"/>
        <c:grouping val="clustered"/>
        <c:varyColors val="0"/>
        <c:ser>
          <c:idx val="0"/>
          <c:order val="0"/>
          <c:tx>
            <c:strRef>
              <c:f>'Total FAAC'!$E$5</c:f>
              <c:strCache>
                <c:ptCount val="1"/>
                <c:pt idx="0">
                  <c:v>Additional
allocation</c:v>
                </c:pt>
              </c:strCache>
            </c:strRef>
          </c:tx>
          <c:spPr>
            <a:solidFill>
              <a:srgbClr val="43A047"/>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'Total FAAC'!$B$6:$B$13</c:f>
              <c:strCache>
                <c:ptCount val="8"/>
                <c:pt idx="0">
                  <c:v>Federal Government (FG)</c:v>
                </c:pt>
                <c:pt idx="1">
                  <c:v>States</c:v>
                </c:pt>
                <c:pt idx="2">
                  <c:v>Local Governments (LGCs)</c:v>
                </c:pt>
                <c:pt idx="3">
                  <c:v>13% Derivation Fund</c:v>
                </c:pt>
                <c:pt idx="4">
                  <c:v>Ecology Fund</c:v>
                </c:pt>
                <c:pt idx="5">
                  <c:v>Stabilization Fund</c:v>
                </c:pt>
                <c:pt idx="6">
                  <c:v>Development of Natural Resources</c:v>
                </c:pt>
                <c:pt idx="7">
                  <c:v>FCT</c:v>
                </c:pt>
              </c:strCache>
            </c:strRef>
          </c:cat>
          <c:val>
            <c:numRef>
              <c:f>'Total FAAC'!$E$6:$E$13</c:f>
              <c:numCache>
                <c:formatCode>#,##0.0;\(#,##0.0\);\-</c:formatCode>
                <c:ptCount val="8"/>
                <c:pt idx="0">
                  <c:v>7849.2547647058836</c:v>
                </c:pt>
                <c:pt idx="1">
                  <c:v>9172.2825882352954</c:v>
                </c:pt>
                <c:pt idx="2">
                  <c:v>6660.6587647058823</c:v>
                </c:pt>
                <c:pt idx="3">
                  <c:v>2319.3277647058821</c:v>
                </c:pt>
                <c:pt idx="4">
                  <c:v>128.4206470588235</c:v>
                </c:pt>
                <c:pt idx="5">
                  <c:v>64.33382352941176</c:v>
                </c:pt>
                <c:pt idx="6">
                  <c:v>215.45523529411767</c:v>
                </c:pt>
                <c:pt idx="7">
                  <c:v>244.36976470588237</c:v>
                </c:pt>
              </c:numCache>
            </c:numRef>
          </c:val>
          <c:extLst>
            <c:ext xmlns:c16="http://schemas.microsoft.com/office/drawing/2014/chart" uri="{C3380CC4-5D6E-409C-BE32-E72D297353CC}">
              <c16:uniqueId val="{00000000-9638-4FDA-AB90-359DA6767ACD}"/>
            </c:ext>
          </c:extLst>
        </c:ser>
        <c:dLbls>
          <c:showLegendKey val="0"/>
          <c:showVal val="0"/>
          <c:showCatName val="0"/>
          <c:showSerName val="0"/>
          <c:showPercent val="0"/>
          <c:showBubbleSize val="0"/>
        </c:dLbls>
        <c:gapWidth val="150"/>
        <c:axId val="32954369"/>
        <c:axId val="72054738"/>
      </c:barChart>
      <c:catAx>
        <c:axId val="32954369"/>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72054738"/>
        <c:crosses val="autoZero"/>
        <c:auto val="1"/>
        <c:lblAlgn val="ctr"/>
        <c:lblOffset val="100"/>
        <c:noMultiLvlLbl val="0"/>
      </c:catAx>
      <c:valAx>
        <c:axId val="72054738"/>
        <c:scaling>
          <c:orientation val="minMax"/>
        </c:scaling>
        <c:delete val="0"/>
        <c:axPos val="b"/>
        <c:majorGridlines>
          <c:spPr>
            <a:ln w="9360">
              <a:solidFill>
                <a:srgbClr val="878787"/>
              </a:solidFill>
              <a:round/>
            </a:ln>
          </c:spPr>
        </c:majorGridlines>
        <c:numFmt formatCode="#,##0.0;\(#,##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2954369"/>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Average Monthly FAAC Allocation: Pre vs Post Subsidy Removal (₦'bn)</a:t>
            </a:r>
          </a:p>
        </c:rich>
      </c:tx>
      <c:overlay val="0"/>
      <c:spPr>
        <a:noFill/>
        <a:ln w="0">
          <a:noFill/>
        </a:ln>
      </c:spPr>
    </c:title>
    <c:autoTitleDeleted val="0"/>
    <c:plotArea>
      <c:layout/>
      <c:barChart>
        <c:barDir val="col"/>
        <c:grouping val="clustered"/>
        <c:varyColors val="0"/>
        <c:ser>
          <c:idx val="0"/>
          <c:order val="0"/>
          <c:tx>
            <c:strRef>
              <c:f>'Monthly Ave'!$C$5</c:f>
              <c:strCache>
                <c:ptCount val="1"/>
                <c:pt idx="0">
                  <c:v>Pre-subsidy
monthly avg</c:v>
                </c:pt>
              </c:strCache>
            </c:strRef>
          </c:tx>
          <c:spPr>
            <a:solidFill>
              <a:srgbClr val="BDBDBD"/>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'Monthly Ave'!$B$6:$B$13</c:f>
              <c:strCache>
                <c:ptCount val="8"/>
                <c:pt idx="0">
                  <c:v>Federal Government (FG)</c:v>
                </c:pt>
                <c:pt idx="1">
                  <c:v>States</c:v>
                </c:pt>
                <c:pt idx="2">
                  <c:v>Local Governments (LGCs)</c:v>
                </c:pt>
                <c:pt idx="3">
                  <c:v>13% Derivation Fund</c:v>
                </c:pt>
                <c:pt idx="4">
                  <c:v>Ecology Fund</c:v>
                </c:pt>
                <c:pt idx="5">
                  <c:v>Stabilization Fund</c:v>
                </c:pt>
                <c:pt idx="6">
                  <c:v>Development of Natural Resources</c:v>
                </c:pt>
                <c:pt idx="7">
                  <c:v>FCT</c:v>
                </c:pt>
              </c:strCache>
            </c:strRef>
          </c:cat>
          <c:val>
            <c:numRef>
              <c:f>'Monthly Ave'!$C$6:$C$13</c:f>
              <c:numCache>
                <c:formatCode>#,##0.0;\(#,##0.0\);\-</c:formatCode>
                <c:ptCount val="8"/>
                <c:pt idx="0">
                  <c:v>197.7055882352941</c:v>
                </c:pt>
                <c:pt idx="1">
                  <c:v>179.09352941176471</c:v>
                </c:pt>
                <c:pt idx="2">
                  <c:v>132.31658823529412</c:v>
                </c:pt>
                <c:pt idx="3">
                  <c:v>33.707588235294118</c:v>
                </c:pt>
                <c:pt idx="4">
                  <c:v>3.6078823529411768</c:v>
                </c:pt>
                <c:pt idx="5">
                  <c:v>1.8039411764705884</c:v>
                </c:pt>
                <c:pt idx="6">
                  <c:v>6.0614117647058832</c:v>
                </c:pt>
                <c:pt idx="7">
                  <c:v>5.2305882352941175</c:v>
                </c:pt>
              </c:numCache>
            </c:numRef>
          </c:val>
          <c:extLst>
            <c:ext xmlns:c16="http://schemas.microsoft.com/office/drawing/2014/chart" uri="{C3380CC4-5D6E-409C-BE32-E72D297353CC}">
              <c16:uniqueId val="{00000000-621B-47C7-A2C2-55E7F3C03902}"/>
            </c:ext>
          </c:extLst>
        </c:ser>
        <c:ser>
          <c:idx val="1"/>
          <c:order val="1"/>
          <c:tx>
            <c:strRef>
              <c:f>'Monthly Ave'!$D$5</c:f>
              <c:strCache>
                <c:ptCount val="1"/>
                <c:pt idx="0">
                  <c:v>Post-subsidy
monthly avg</c:v>
                </c:pt>
              </c:strCache>
            </c:strRef>
          </c:tx>
          <c:spPr>
            <a:solidFill>
              <a:srgbClr val="2E7D32"/>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'Monthly Ave'!$B$6:$B$13</c:f>
              <c:strCache>
                <c:ptCount val="8"/>
                <c:pt idx="0">
                  <c:v>Federal Government (FG)</c:v>
                </c:pt>
                <c:pt idx="1">
                  <c:v>States</c:v>
                </c:pt>
                <c:pt idx="2">
                  <c:v>Local Governments (LGCs)</c:v>
                </c:pt>
                <c:pt idx="3">
                  <c:v>13% Derivation Fund</c:v>
                </c:pt>
                <c:pt idx="4">
                  <c:v>Ecology Fund</c:v>
                </c:pt>
                <c:pt idx="5">
                  <c:v>Stabilization Fund</c:v>
                </c:pt>
                <c:pt idx="6">
                  <c:v>Development of Natural Resources</c:v>
                </c:pt>
                <c:pt idx="7">
                  <c:v>FCT</c:v>
                </c:pt>
              </c:strCache>
            </c:strRef>
          </c:cat>
          <c:val>
            <c:numRef>
              <c:f>'Monthly Ave'!$D$6:$D$13</c:f>
              <c:numCache>
                <c:formatCode>#,##0.0;\(#,##0.0\);\-</c:formatCode>
                <c:ptCount val="8"/>
                <c:pt idx="0">
                  <c:v>450.90735483870969</c:v>
                </c:pt>
                <c:pt idx="1">
                  <c:v>474.97361290322584</c:v>
                </c:pt>
                <c:pt idx="2">
                  <c:v>347.17654838709677</c:v>
                </c:pt>
                <c:pt idx="3">
                  <c:v>108.5246129032258</c:v>
                </c:pt>
                <c:pt idx="4">
                  <c:v>7.7504838709677415</c:v>
                </c:pt>
                <c:pt idx="5">
                  <c:v>3.879225806451613</c:v>
                </c:pt>
                <c:pt idx="6">
                  <c:v>13.011580645161292</c:v>
                </c:pt>
                <c:pt idx="7">
                  <c:v>13.113483870967743</c:v>
                </c:pt>
              </c:numCache>
            </c:numRef>
          </c:val>
          <c:extLst>
            <c:ext xmlns:c16="http://schemas.microsoft.com/office/drawing/2014/chart" uri="{C3380CC4-5D6E-409C-BE32-E72D297353CC}">
              <c16:uniqueId val="{00000001-621B-47C7-A2C2-55E7F3C03902}"/>
            </c:ext>
          </c:extLst>
        </c:ser>
        <c:dLbls>
          <c:showLegendKey val="0"/>
          <c:showVal val="0"/>
          <c:showCatName val="0"/>
          <c:showSerName val="0"/>
          <c:showPercent val="0"/>
          <c:showBubbleSize val="0"/>
        </c:dLbls>
        <c:gapWidth val="60"/>
        <c:axId val="24833219"/>
        <c:axId val="26775016"/>
      </c:barChart>
      <c:catAx>
        <c:axId val="2483321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26775016"/>
        <c:crosses val="autoZero"/>
        <c:auto val="1"/>
        <c:lblAlgn val="ctr"/>
        <c:lblOffset val="100"/>
        <c:noMultiLvlLbl val="0"/>
      </c:catAx>
      <c:valAx>
        <c:axId val="26775016"/>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₦'Billion / month</a:t>
                </a:r>
              </a:p>
            </c:rich>
          </c:tx>
          <c:overlay val="0"/>
          <c:spPr>
            <a:noFill/>
            <a:ln w="0">
              <a:noFill/>
            </a:ln>
          </c:spPr>
        </c:title>
        <c:numFmt formatCode="#,##0.0;\(#,##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24833219"/>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21</xdr:row>
      <xdr:rowOff>160560</xdr:rowOff>
    </xdr:from>
    <xdr:to>
      <xdr:col>5</xdr:col>
      <xdr:colOff>353750</xdr:colOff>
      <xdr:row>37</xdr:row>
      <xdr:rowOff>172080</xdr:rowOff>
    </xdr:to>
    <xdr:graphicFrame macro="">
      <xdr:nvGraphicFramePr>
        <xdr:cNvPr id="2" name="Chart 1">
          <a:extLst>
            <a:ext uri="{FF2B5EF4-FFF2-40B4-BE49-F238E27FC236}">
              <a16:creationId xmlns:a16="http://schemas.microsoft.com/office/drawing/2014/main" id="{DC7C907B-8F1E-4986-9AF0-06D8EDB4B9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0</xdr:col>
      <xdr:colOff>3451234</xdr:colOff>
      <xdr:row>0</xdr:row>
      <xdr:rowOff>38100</xdr:rowOff>
    </xdr:from>
    <xdr:ext cx="4324611" cy="1524000"/>
    <xdr:pic>
      <xdr:nvPicPr>
        <xdr:cNvPr id="2" name="Picture 1">
          <a:extLst>
            <a:ext uri="{FF2B5EF4-FFF2-40B4-BE49-F238E27FC236}">
              <a16:creationId xmlns:a16="http://schemas.microsoft.com/office/drawing/2014/main" id="{21A381F9-3C43-A64E-96AE-6692DFEBA089}"/>
            </a:ext>
          </a:extLst>
        </xdr:cNvPr>
        <xdr:cNvPicPr>
          <a:picLocks noChangeAspect="1"/>
        </xdr:cNvPicPr>
      </xdr:nvPicPr>
      <xdr:blipFill>
        <a:blip xmlns:r="http://schemas.openxmlformats.org/officeDocument/2006/relationships" r:embed="rId1"/>
        <a:stretch>
          <a:fillRect/>
        </a:stretch>
      </xdr:blipFill>
      <xdr:spPr>
        <a:xfrm>
          <a:off x="657234" y="38100"/>
          <a:ext cx="4324611" cy="1524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6</xdr:col>
      <xdr:colOff>1040387</xdr:colOff>
      <xdr:row>4</xdr:row>
      <xdr:rowOff>63251</xdr:rowOff>
    </xdr:from>
    <xdr:to>
      <xdr:col>8</xdr:col>
      <xdr:colOff>120440</xdr:colOff>
      <xdr:row>8</xdr:row>
      <xdr:rowOff>151804</xdr:rowOff>
    </xdr:to>
    <xdr:pic>
      <xdr:nvPicPr>
        <xdr:cNvPr id="2" name="Picture 1" descr=" ">
          <a:extLst>
            <a:ext uri="{FF2B5EF4-FFF2-40B4-BE49-F238E27FC236}">
              <a16:creationId xmlns:a16="http://schemas.microsoft.com/office/drawing/2014/main" id="{33326250-D215-429E-A256-B7DC2C8B7AC3}"/>
            </a:ext>
          </a:extLst>
        </xdr:cNvPr>
        <xdr:cNvPicPr/>
      </xdr:nvPicPr>
      <xdr:blipFill>
        <a:blip xmlns:r="http://schemas.openxmlformats.org/officeDocument/2006/relationships" r:embed="rId1"/>
        <a:srcRect/>
        <a:stretch>
          <a:fillRect/>
        </a:stretch>
      </xdr:blipFill>
      <xdr:spPr>
        <a:xfrm>
          <a:off x="10114537" y="1574551"/>
          <a:ext cx="2655103" cy="850553"/>
        </a:xfrm>
        <a:prstGeom prst="rect">
          <a:avLst/>
        </a:prstGeom>
        <a:solidFill>
          <a:srgbClr val="FFFFFF"/>
        </a:solidFill>
        <a:ln w="1" cap="flat" cmpd="sng">
          <a:solidFill>
            <a:srgbClr val="000000"/>
          </a:solidFill>
          <a:prstDash val="dash"/>
          <a:miter/>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17</xdr:row>
      <xdr:rowOff>160920</xdr:rowOff>
    </xdr:from>
    <xdr:to>
      <xdr:col>6</xdr:col>
      <xdr:colOff>714960</xdr:colOff>
      <xdr:row>33</xdr:row>
      <xdr:rowOff>172440</xdr:rowOff>
    </xdr:to>
    <xdr:graphicFrame macro="">
      <xdr:nvGraphicFramePr>
        <xdr:cNvPr id="2" name="Chart 1">
          <a:extLst>
            <a:ext uri="{FF2B5EF4-FFF2-40B4-BE49-F238E27FC236}">
              <a16:creationId xmlns:a16="http://schemas.microsoft.com/office/drawing/2014/main" id="{8431DBB9-5D62-48B3-97D6-1B9AED6178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betplc-my.sharepoint.com/personal/abdullahi_adedeji_nbet_com_ng/Documents/PCM/PCM/historic/DisCo%20Historic%20Invoices_Jan%202023%20to%20June%202026.xlsx" TargetMode="External"/><Relationship Id="rId1" Type="http://schemas.openxmlformats.org/officeDocument/2006/relationships/externalLinkPath" Target="https://nbetplc-my.sharepoint.com/personal/abdullahi_adedeji_nbet_com_ng/Documents/PCM/PCM/historic/DisCo%20Historic%20Invoices_Jan%202023%20to%20June%2020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emmae\Downloads\Disbursement%20January,%202025.xlsx" TargetMode="External"/><Relationship Id="rId1" Type="http://schemas.openxmlformats.org/officeDocument/2006/relationships/externalLinkPath" Target="file:///C:\Users\emmae\Downloads\Disbursement%20January,%202025.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emmae\Downloads\Disbursement%20February,%202025.xlsx" TargetMode="External"/><Relationship Id="rId1" Type="http://schemas.openxmlformats.org/officeDocument/2006/relationships/externalLinkPath" Target="file:///C:\Users\emmae\Downloads\Disbursement%20February,%202025.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emmae\Downloads\Disbursement%20March,%202025.xlsx" TargetMode="External"/><Relationship Id="rId1" Type="http://schemas.openxmlformats.org/officeDocument/2006/relationships/externalLinkPath" Target="file:///C:\Users\emmae\Downloads\Disbursement%20March,%202025.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emmae\Downloads\Disbursement%20April,%202025.xlsx" TargetMode="External"/><Relationship Id="rId1" Type="http://schemas.openxmlformats.org/officeDocument/2006/relationships/externalLinkPath" Target="file:///C:\Users\emmae\Downloads\Disbursement%20April,%202025.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emmae\Downloads\Disbursement%20May,%202025.xlsx" TargetMode="External"/><Relationship Id="rId1" Type="http://schemas.openxmlformats.org/officeDocument/2006/relationships/externalLinkPath" Target="file:///C:\Users\emmae\Downloads\Disbursement%20May,%202025.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emmae\Downloads\Disbursement%20June,%202025.xlsx" TargetMode="External"/><Relationship Id="rId1" Type="http://schemas.openxmlformats.org/officeDocument/2006/relationships/externalLinkPath" Target="file:///C:\Users\emmae\Downloads\Disbursement%20June,%202025.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emmae\Downloads\Disbursement%20July,%202025.xlsx" TargetMode="External"/><Relationship Id="rId1" Type="http://schemas.openxmlformats.org/officeDocument/2006/relationships/externalLinkPath" Target="file:///C:\Users\emmae\Downloads\Disbursement%20July,%202025.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emmae\Downloads\Disbursement%20August,%202025.xlsx" TargetMode="External"/><Relationship Id="rId1" Type="http://schemas.openxmlformats.org/officeDocument/2006/relationships/externalLinkPath" Target="file:///C:\Users\emmae\Downloads\Disbursement%20August,%202025.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emmae\Downloads\Disbursement%20September,%202025.xlsx" TargetMode="External"/><Relationship Id="rId1" Type="http://schemas.openxmlformats.org/officeDocument/2006/relationships/externalLinkPath" Target="file:///C:\Users\emmae\Downloads\Disbursement%20September,%202025.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C:\Users\emmae\Downloads\Disbursement%20October,%202025.xlsx" TargetMode="External"/><Relationship Id="rId1" Type="http://schemas.openxmlformats.org/officeDocument/2006/relationships/externalLinkPath" Target="file:///C:\Users\emmae\Downloads\Disbursement%20October,%202025.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C:\Users\emmae\Downloads\Disbursement%20November,%202025.xlsx" TargetMode="External"/><Relationship Id="rId1" Type="http://schemas.openxmlformats.org/officeDocument/2006/relationships/externalLinkPath" Target="file:///C:\Users\emmae\Downloads\Disbursement%20November,%202025.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file:///C:\Users\emmae\Downloads\Disbursement%20December,%202025.xlsx" TargetMode="External"/><Relationship Id="rId1" Type="http://schemas.openxmlformats.org/officeDocument/2006/relationships/externalLinkPath" Target="file:///C:\Users\emmae\Downloads\Disbursement%20December,%202025.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file:///C:\Users\emmae\Downloads\Disbursement%20January,%202024.xlsx" TargetMode="External"/><Relationship Id="rId1" Type="http://schemas.openxmlformats.org/officeDocument/2006/relationships/externalLinkPath" Target="file:///C:\Users\emmae\Downloads\Disbursement%20January,%202024.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file:///C:\Users\emmae\Downloads\Disbursement%20February,%202024.xlsx" TargetMode="External"/><Relationship Id="rId1" Type="http://schemas.openxmlformats.org/officeDocument/2006/relationships/externalLinkPath" Target="file:///C:\Users\emmae\Downloads\Disbursement%20February,%202024.xlsx"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file:///C:\Users\emmae\Downloads\Disbursement%20March,%202024.xlsx" TargetMode="External"/><Relationship Id="rId1" Type="http://schemas.openxmlformats.org/officeDocument/2006/relationships/externalLinkPath" Target="file:///C:\Users\emmae\Downloads\Disbursement%20March,%202024.xlsx"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file:///C:\Users\emmae\Downloads\Disbursement%20April,%202024.xlsx" TargetMode="External"/><Relationship Id="rId1" Type="http://schemas.openxmlformats.org/officeDocument/2006/relationships/externalLinkPath" Target="file:///C:\Users\emmae\Downloads\Disbursement%20April,%202024.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file:///C:\Users\emmae\Downloads\Disbursement%20May,%202024.xlsx" TargetMode="External"/><Relationship Id="rId1" Type="http://schemas.openxmlformats.org/officeDocument/2006/relationships/externalLinkPath" Target="file:///C:\Users\emmae\Downloads\Disbursement%20May,%202024.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file:///C:\Users\emmae\Downloads\Disbursement%20June,%202024.xlsx" TargetMode="External"/><Relationship Id="rId1" Type="http://schemas.openxmlformats.org/officeDocument/2006/relationships/externalLinkPath" Target="file:///C:\Users\emmae\Downloads\Disbursement%20June,%202024.xlsx"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file:///C:\Users\emmae\Downloads\Disbursement%20July,%202024.xlsx" TargetMode="External"/><Relationship Id="rId1" Type="http://schemas.openxmlformats.org/officeDocument/2006/relationships/externalLinkPath" Target="file:///C:\Users\emmae\Downloads\Disbursement%20July,%202024.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file:///C:\Users\emmae\Downloads\Disbursement%20August,%202024.xlsx" TargetMode="External"/><Relationship Id="rId1" Type="http://schemas.openxmlformats.org/officeDocument/2006/relationships/externalLinkPath" Target="file:///C:\Users\emmae\Downloads\Disbursement%20August,%202024.xlsx"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file:///C:\Users\emmae\Downloads\Disbursement%20September,%202024.xlsx" TargetMode="External"/><Relationship Id="rId1" Type="http://schemas.openxmlformats.org/officeDocument/2006/relationships/externalLinkPath" Target="file:///C:\Users\emmae\Downloads\Disbursement%20September,%202024.xlsx"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file:///C:\Users\emmae\Downloads\Disbursement%20October,%202024..xlsx" TargetMode="External"/><Relationship Id="rId1" Type="http://schemas.openxmlformats.org/officeDocument/2006/relationships/externalLinkPath" Target="file:///C:\Users\emmae\Downloads\Disbursement%20October,%202024..xlsx" TargetMode="External"/></Relationships>
</file>

<file path=xl/externalLinks/_rels/externalLink24.xml.rels><?xml version="1.0" encoding="UTF-8" standalone="yes"?>
<Relationships xmlns="http://schemas.openxmlformats.org/package/2006/relationships"><Relationship Id="rId2" Type="http://schemas.openxmlformats.org/officeDocument/2006/relationships/externalLinkPath" Target="file:///C:\Users\emmae\Downloads\Disbursement%20November%202024.xlsx" TargetMode="External"/><Relationship Id="rId1" Type="http://schemas.openxmlformats.org/officeDocument/2006/relationships/externalLinkPath" Target="file:///C:\Users\emmae\Downloads\Disbursement%20November%202024.xlsx" TargetMode="External"/></Relationships>
</file>

<file path=xl/externalLinks/_rels/externalLink25.xml.rels><?xml version="1.0" encoding="UTF-8" standalone="yes"?>
<Relationships xmlns="http://schemas.openxmlformats.org/package/2006/relationships"><Relationship Id="rId2" Type="http://schemas.openxmlformats.org/officeDocument/2006/relationships/externalLinkPath" Target="file:///C:\Users\emmae\Downloads\Disbursement%20December,%202024.xlsx" TargetMode="External"/><Relationship Id="rId1" Type="http://schemas.openxmlformats.org/officeDocument/2006/relationships/externalLinkPath" Target="file:///C:\Users\emmae\Downloads\Disbursement%20December,%202024.xlsx" TargetMode="External"/></Relationships>
</file>

<file path=xl/externalLinks/_rels/externalLink26.xml.rels><?xml version="1.0" encoding="UTF-8" standalone="yes"?>
<Relationships xmlns="http://schemas.openxmlformats.org/package/2006/relationships"><Relationship Id="rId2" Type="http://schemas.openxmlformats.org/officeDocument/2006/relationships/externalLinkPath" Target="file:///C:\Users\davel\OneDrive\Documents\help\Oluseun\MoF\MP&amp;Coord\FAAC%20Analysis\FAAC%20Allocation%20Pre%20&amp;%20Post%20Subsidy%20Analysis%20v2.xlsx" TargetMode="External"/><Relationship Id="rId1" Type="http://schemas.openxmlformats.org/officeDocument/2006/relationships/externalLinkPath" Target="file:///C:\Users\davel\OneDrive\Documents\help\Oluseun\MoF\MP&amp;Coord\FAAC%20Analysis\FAAC%20Allocation%20Pre%20&amp;%20Post%20Subsidy%20Analysis%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2"/>
      <sheetName val="Sheet3"/>
    </sheetNames>
    <sheetDataSet>
      <sheetData sheetId="0">
        <row r="2">
          <cell r="F2">
            <v>45017</v>
          </cell>
          <cell r="G2">
            <v>45047</v>
          </cell>
          <cell r="H2">
            <v>45078</v>
          </cell>
          <cell r="I2">
            <v>45108</v>
          </cell>
          <cell r="J2">
            <v>45139</v>
          </cell>
          <cell r="K2">
            <v>45170</v>
          </cell>
          <cell r="L2">
            <v>45200</v>
          </cell>
          <cell r="M2">
            <v>45231</v>
          </cell>
          <cell r="N2">
            <v>45261</v>
          </cell>
          <cell r="O2">
            <v>45292</v>
          </cell>
          <cell r="P2">
            <v>45323</v>
          </cell>
          <cell r="Q2">
            <v>45352</v>
          </cell>
          <cell r="R2">
            <v>45383</v>
          </cell>
          <cell r="S2">
            <v>45413</v>
          </cell>
          <cell r="T2">
            <v>45444</v>
          </cell>
          <cell r="U2">
            <v>45474</v>
          </cell>
          <cell r="V2">
            <v>45505</v>
          </cell>
          <cell r="W2">
            <v>45536</v>
          </cell>
          <cell r="X2">
            <v>45566</v>
          </cell>
          <cell r="Y2">
            <v>45597</v>
          </cell>
          <cell r="Z2">
            <v>45627</v>
          </cell>
          <cell r="AA2">
            <v>45658</v>
          </cell>
          <cell r="AB2">
            <v>45689</v>
          </cell>
          <cell r="AC2">
            <v>45717</v>
          </cell>
          <cell r="AD2">
            <v>45748</v>
          </cell>
          <cell r="AE2">
            <v>45778</v>
          </cell>
          <cell r="AF2">
            <v>45809</v>
          </cell>
          <cell r="AG2">
            <v>45839</v>
          </cell>
          <cell r="AH2">
            <v>45870</v>
          </cell>
          <cell r="AI2">
            <v>45901</v>
          </cell>
          <cell r="AJ2">
            <v>45931</v>
          </cell>
          <cell r="AK2">
            <v>45962</v>
          </cell>
          <cell r="AL2">
            <v>45992</v>
          </cell>
        </row>
        <row r="3">
          <cell r="F3">
            <v>11739278136.730278</v>
          </cell>
          <cell r="G3">
            <v>15075982221.865347</v>
          </cell>
          <cell r="H3">
            <v>18923521469.700893</v>
          </cell>
          <cell r="I3">
            <v>19402970126.781715</v>
          </cell>
          <cell r="J3">
            <v>19433615700.844109</v>
          </cell>
          <cell r="K3">
            <v>19573886989.685993</v>
          </cell>
          <cell r="L3">
            <v>22553416654.466976</v>
          </cell>
          <cell r="M3">
            <v>24232511298.615044</v>
          </cell>
          <cell r="N3">
            <v>24951810625.049751</v>
          </cell>
          <cell r="O3">
            <v>39917340375.037476</v>
          </cell>
          <cell r="P3">
            <v>32400323071.065262</v>
          </cell>
          <cell r="Q3">
            <v>37192957402.671898</v>
          </cell>
          <cell r="R3">
            <v>34703217234.708694</v>
          </cell>
          <cell r="S3">
            <v>38128688283.738785</v>
          </cell>
          <cell r="T3">
            <v>35778872009.453979</v>
          </cell>
          <cell r="U3">
            <v>40049668839.010002</v>
          </cell>
          <cell r="V3">
            <v>37866997697.251419</v>
          </cell>
          <cell r="W3">
            <v>41237337118.250206</v>
          </cell>
          <cell r="X3">
            <v>42948104739.099998</v>
          </cell>
          <cell r="Y3">
            <v>42244893785.088959</v>
          </cell>
          <cell r="Z3">
            <v>41332342782.349998</v>
          </cell>
          <cell r="AA3">
            <v>41428107487.578964</v>
          </cell>
          <cell r="AB3">
            <v>40599370974.019943</v>
          </cell>
          <cell r="AC3">
            <v>48752088628.900772</v>
          </cell>
          <cell r="AD3">
            <v>43664452975.347878</v>
          </cell>
          <cell r="AE3">
            <v>42221123598.380417</v>
          </cell>
          <cell r="AF3">
            <v>40743121771.776016</v>
          </cell>
          <cell r="AG3">
            <v>41080478038.117317</v>
          </cell>
          <cell r="AH3">
            <v>37564237522.725281</v>
          </cell>
          <cell r="AI3">
            <v>34884784138.592278</v>
          </cell>
          <cell r="AJ3">
            <v>38578869049.049721</v>
          </cell>
          <cell r="AK3">
            <v>42754876481.943726</v>
          </cell>
          <cell r="AL3">
            <v>37013860051.901527</v>
          </cell>
        </row>
        <row r="4">
          <cell r="F4">
            <v>6819212028.3715754</v>
          </cell>
          <cell r="G4">
            <v>9310945901.4941807</v>
          </cell>
          <cell r="H4">
            <v>10566797636.895092</v>
          </cell>
          <cell r="I4">
            <v>10359142708.499966</v>
          </cell>
          <cell r="J4">
            <v>10192209320.739658</v>
          </cell>
          <cell r="K4">
            <v>11078906762.12822</v>
          </cell>
          <cell r="L4">
            <v>12230889445.016958</v>
          </cell>
          <cell r="M4">
            <v>12744709487.713095</v>
          </cell>
          <cell r="N4">
            <v>13546738365.465984</v>
          </cell>
          <cell r="O4">
            <v>20642287788.157585</v>
          </cell>
          <cell r="P4">
            <v>17001218681.455055</v>
          </cell>
          <cell r="Q4">
            <v>18483021186.404125</v>
          </cell>
          <cell r="R4">
            <v>16332421292.911716</v>
          </cell>
          <cell r="S4">
            <v>19333589687.434914</v>
          </cell>
          <cell r="T4">
            <v>19759875464.556591</v>
          </cell>
          <cell r="U4">
            <v>22560770181.580002</v>
          </cell>
          <cell r="V4">
            <v>21505423316.681305</v>
          </cell>
          <cell r="W4">
            <v>25329304441.830772</v>
          </cell>
          <cell r="X4">
            <v>25531192966.549999</v>
          </cell>
          <cell r="Y4">
            <v>26777074067.535294</v>
          </cell>
          <cell r="Z4">
            <v>27148421004.48</v>
          </cell>
          <cell r="AA4">
            <v>29926657011.254379</v>
          </cell>
          <cell r="AB4">
            <v>26183944101.947166</v>
          </cell>
          <cell r="AC4">
            <v>27488837557.588825</v>
          </cell>
          <cell r="AD4">
            <v>25108848531.710426</v>
          </cell>
          <cell r="AE4">
            <v>27303838682.449337</v>
          </cell>
          <cell r="AF4">
            <v>22466452352.869781</v>
          </cell>
          <cell r="AG4">
            <v>26225769349.072929</v>
          </cell>
          <cell r="AH4">
            <v>23270264731.456524</v>
          </cell>
          <cell r="AI4">
            <v>20445371507.963879</v>
          </cell>
          <cell r="AJ4">
            <v>23834474556.667892</v>
          </cell>
          <cell r="AK4">
            <v>24445014286.863285</v>
          </cell>
          <cell r="AL4">
            <v>20445258467.200417</v>
          </cell>
        </row>
        <row r="5">
          <cell r="F5">
            <v>7139737796.8412323</v>
          </cell>
          <cell r="G5">
            <v>10243718552.827183</v>
          </cell>
          <cell r="H5">
            <v>12331617373.313574</v>
          </cell>
          <cell r="I5">
            <v>13219677398.159496</v>
          </cell>
          <cell r="J5">
            <v>13595176049.222227</v>
          </cell>
          <cell r="K5">
            <v>15099739781.001057</v>
          </cell>
          <cell r="L5">
            <v>18676413303.718391</v>
          </cell>
          <cell r="M5">
            <v>20996821467.083176</v>
          </cell>
          <cell r="N5">
            <v>21283551348.235199</v>
          </cell>
          <cell r="O5">
            <v>35606893775.012962</v>
          </cell>
          <cell r="P5">
            <v>26490453713.813725</v>
          </cell>
          <cell r="Q5">
            <v>32097592306.494812</v>
          </cell>
          <cell r="R5">
            <v>29234213057.990673</v>
          </cell>
          <cell r="S5">
            <v>33619481670.290379</v>
          </cell>
          <cell r="T5">
            <v>30944860856.102783</v>
          </cell>
          <cell r="U5">
            <v>33378479834.209999</v>
          </cell>
          <cell r="V5">
            <v>31288167249.336922</v>
          </cell>
          <cell r="W5">
            <v>37584287472.78228</v>
          </cell>
          <cell r="X5">
            <v>35620864128.970001</v>
          </cell>
          <cell r="Y5">
            <v>34715105373.535583</v>
          </cell>
          <cell r="Z5">
            <v>37415893531.260002</v>
          </cell>
          <cell r="AA5">
            <v>41773512549.713524</v>
          </cell>
          <cell r="AB5">
            <v>38059560050.447502</v>
          </cell>
          <cell r="AC5">
            <v>40008950103.567513</v>
          </cell>
          <cell r="AD5">
            <v>35034042086.114456</v>
          </cell>
          <cell r="AE5">
            <v>38634600127.173508</v>
          </cell>
          <cell r="AF5">
            <v>34513471172.233109</v>
          </cell>
          <cell r="AG5">
            <v>35572530320.188889</v>
          </cell>
          <cell r="AH5">
            <v>32625343607.204617</v>
          </cell>
          <cell r="AI5">
            <v>29319684329.895561</v>
          </cell>
          <cell r="AJ5">
            <v>33895369274.06813</v>
          </cell>
          <cell r="AK5">
            <v>34834002666.250298</v>
          </cell>
          <cell r="AL5">
            <v>30464336426.806755</v>
          </cell>
        </row>
        <row r="6">
          <cell r="F6">
            <v>6873412520.0289612</v>
          </cell>
          <cell r="G6">
            <v>8997401554.376461</v>
          </cell>
          <cell r="H6">
            <v>10562532144.524075</v>
          </cell>
          <cell r="I6">
            <v>10146892857.362532</v>
          </cell>
          <cell r="J6">
            <v>10218064877.339993</v>
          </cell>
          <cell r="K6">
            <v>10685407219.412594</v>
          </cell>
          <cell r="L6">
            <v>12900718640.465128</v>
          </cell>
          <cell r="M6">
            <v>13234143189.634571</v>
          </cell>
          <cell r="N6">
            <v>14661031718.904818</v>
          </cell>
          <cell r="O6">
            <v>20402336357.866653</v>
          </cell>
          <cell r="P6">
            <v>15617138745.989513</v>
          </cell>
          <cell r="Q6">
            <v>17274704568.417976</v>
          </cell>
          <cell r="R6">
            <v>15368106493.272821</v>
          </cell>
          <cell r="S6">
            <v>17980861507.28788</v>
          </cell>
          <cell r="T6">
            <v>18656993501.842232</v>
          </cell>
          <cell r="U6">
            <v>20667398614.689999</v>
          </cell>
          <cell r="V6">
            <v>20773592149.259262</v>
          </cell>
          <cell r="W6">
            <v>22950669340.855797</v>
          </cell>
          <cell r="X6">
            <v>22454241456.77</v>
          </cell>
          <cell r="Y6">
            <v>23017728480.243233</v>
          </cell>
          <cell r="Z6">
            <v>23420160314.77</v>
          </cell>
          <cell r="AA6">
            <v>24401429645.662392</v>
          </cell>
          <cell r="AB6">
            <v>23464002874.891003</v>
          </cell>
          <cell r="AC6">
            <v>26240443121.804085</v>
          </cell>
          <cell r="AD6">
            <v>23876439012.152336</v>
          </cell>
          <cell r="AE6">
            <v>22262462497.483181</v>
          </cell>
          <cell r="AF6">
            <v>21910528926.058533</v>
          </cell>
          <cell r="AG6">
            <v>22294198458.248531</v>
          </cell>
          <cell r="AH6">
            <v>20209547833.469814</v>
          </cell>
          <cell r="AI6">
            <v>19539344555.867603</v>
          </cell>
          <cell r="AJ6">
            <v>21109318514.0382</v>
          </cell>
          <cell r="AK6">
            <v>22082064932.456863</v>
          </cell>
          <cell r="AL6">
            <v>19429271291.63652</v>
          </cell>
        </row>
        <row r="7">
          <cell r="F7">
            <v>8786429494.063282</v>
          </cell>
          <cell r="G7">
            <v>12029206167.134918</v>
          </cell>
          <cell r="H7">
            <v>13466169151.693689</v>
          </cell>
          <cell r="I7">
            <v>13473944144.475496</v>
          </cell>
          <cell r="J7">
            <v>13990601784.370901</v>
          </cell>
          <cell r="K7">
            <v>15496385430.396692</v>
          </cell>
          <cell r="L7">
            <v>17315677519.527878</v>
          </cell>
          <cell r="M7">
            <v>19378244796.094055</v>
          </cell>
          <cell r="N7">
            <v>19587375920.878658</v>
          </cell>
          <cell r="O7">
            <v>29077716965.704426</v>
          </cell>
          <cell r="P7">
            <v>24550914886.592327</v>
          </cell>
          <cell r="Q7">
            <v>26383164872.983479</v>
          </cell>
          <cell r="R7">
            <v>23119376115.572723</v>
          </cell>
          <cell r="S7">
            <v>29059049436.440071</v>
          </cell>
          <cell r="T7">
            <v>27528522678.341728</v>
          </cell>
          <cell r="U7">
            <v>31798897756.48</v>
          </cell>
          <cell r="V7">
            <v>30471489810.783413</v>
          </cell>
          <cell r="W7">
            <v>34882663091.223412</v>
          </cell>
          <cell r="X7">
            <v>34005046880.790001</v>
          </cell>
          <cell r="Y7">
            <v>34062349340.031349</v>
          </cell>
          <cell r="Z7">
            <v>34470434225.209999</v>
          </cell>
          <cell r="AA7">
            <v>35815609751.452141</v>
          </cell>
          <cell r="AB7">
            <v>31250240986.031891</v>
          </cell>
          <cell r="AC7">
            <v>33081569050.560608</v>
          </cell>
          <cell r="AD7">
            <v>32033718940.618675</v>
          </cell>
          <cell r="AE7">
            <v>33452150266.205009</v>
          </cell>
          <cell r="AF7">
            <v>30727570485.973785</v>
          </cell>
          <cell r="AG7">
            <v>32992661803.186382</v>
          </cell>
          <cell r="AH7">
            <v>31364250344.088825</v>
          </cell>
          <cell r="AI7">
            <v>27773375518.108494</v>
          </cell>
          <cell r="AJ7">
            <v>30320697868.419724</v>
          </cell>
          <cell r="AK7">
            <v>32499891781.816048</v>
          </cell>
          <cell r="AL7">
            <v>27749771401.387276</v>
          </cell>
        </row>
        <row r="8">
          <cell r="F8">
            <v>11650890911.324524</v>
          </cell>
          <cell r="G8">
            <v>15880570805.443205</v>
          </cell>
          <cell r="H8">
            <v>19338508886.229156</v>
          </cell>
          <cell r="I8">
            <v>20500346238.03524</v>
          </cell>
          <cell r="J8">
            <v>20784124077.595436</v>
          </cell>
          <cell r="K8">
            <v>20503604769.698822</v>
          </cell>
          <cell r="L8">
            <v>22006836608.521557</v>
          </cell>
          <cell r="M8">
            <v>24237211279.332436</v>
          </cell>
          <cell r="N8">
            <v>24773566622.232086</v>
          </cell>
          <cell r="O8">
            <v>40621628989.139847</v>
          </cell>
          <cell r="P8">
            <v>31037185327.191753</v>
          </cell>
          <cell r="Q8">
            <v>37137266388.843437</v>
          </cell>
          <cell r="R8">
            <v>35693054139.763741</v>
          </cell>
          <cell r="S8">
            <v>39259448828.535187</v>
          </cell>
          <cell r="T8">
            <v>36721669335.923248</v>
          </cell>
          <cell r="U8">
            <v>38218644951.07</v>
          </cell>
          <cell r="V8">
            <v>36746889099.715988</v>
          </cell>
          <cell r="W8">
            <v>42850303245.477661</v>
          </cell>
          <cell r="X8">
            <v>42584549505.190002</v>
          </cell>
          <cell r="Y8">
            <v>40709546160.40374</v>
          </cell>
          <cell r="Z8">
            <v>43309444104.75</v>
          </cell>
          <cell r="AA8">
            <v>46057291997.382874</v>
          </cell>
          <cell r="AB8">
            <v>41703622986.363403</v>
          </cell>
          <cell r="AC8">
            <v>45407621005.281815</v>
          </cell>
          <cell r="AD8">
            <v>41902474803.301941</v>
          </cell>
          <cell r="AE8">
            <v>44713935036.51619</v>
          </cell>
          <cell r="AF8">
            <v>40241933327.328957</v>
          </cell>
          <cell r="AG8">
            <v>41124709684.068306</v>
          </cell>
          <cell r="AH8">
            <v>35712062145.624207</v>
          </cell>
          <cell r="AI8">
            <v>33322432542.85582</v>
          </cell>
          <cell r="AJ8">
            <v>36997560084.080147</v>
          </cell>
          <cell r="AK8">
            <v>39808136127.960892</v>
          </cell>
          <cell r="AL8">
            <v>35072377498.637642</v>
          </cell>
        </row>
        <row r="9">
          <cell r="F9">
            <v>4369209491.4713974</v>
          </cell>
          <cell r="G9">
            <v>5604007876.792491</v>
          </cell>
          <cell r="H9">
            <v>5449283546.4529047</v>
          </cell>
          <cell r="I9">
            <v>6660096304.3689318</v>
          </cell>
          <cell r="J9">
            <v>6529717464.118063</v>
          </cell>
          <cell r="K9">
            <v>7061019420.6471148</v>
          </cell>
          <cell r="L9">
            <v>8327216893.567646</v>
          </cell>
          <cell r="M9">
            <v>8649362402.5504971</v>
          </cell>
          <cell r="N9">
            <v>9097297662.546381</v>
          </cell>
          <cell r="O9">
            <v>13664590153.497581</v>
          </cell>
          <cell r="P9">
            <v>12354608277.859793</v>
          </cell>
          <cell r="Q9">
            <v>13573187444.583912</v>
          </cell>
          <cell r="R9">
            <v>11021019793.080753</v>
          </cell>
          <cell r="S9">
            <v>11491984695.07021</v>
          </cell>
          <cell r="T9">
            <v>12521791450.539989</v>
          </cell>
          <cell r="U9">
            <v>14960750870.99</v>
          </cell>
          <cell r="V9">
            <v>14278915310.048998</v>
          </cell>
          <cell r="W9">
            <v>15923005087.622849</v>
          </cell>
          <cell r="X9">
            <v>10968251848.6</v>
          </cell>
          <cell r="Y9">
            <v>9427097107.1665726</v>
          </cell>
          <cell r="Z9">
            <v>11783981115.92</v>
          </cell>
          <cell r="AA9">
            <v>11825598323.581568</v>
          </cell>
          <cell r="AB9">
            <v>12726878703.355303</v>
          </cell>
          <cell r="AC9">
            <v>17025961842.961222</v>
          </cell>
          <cell r="AD9">
            <v>14947963571.677441</v>
          </cell>
          <cell r="AE9">
            <v>13962927045.984211</v>
          </cell>
          <cell r="AF9">
            <v>12075447427.257595</v>
          </cell>
          <cell r="AG9">
            <v>12747151057.299967</v>
          </cell>
          <cell r="AH9">
            <v>12982831438.670155</v>
          </cell>
          <cell r="AI9">
            <v>12170866045.481192</v>
          </cell>
          <cell r="AJ9">
            <v>13960482456.841</v>
          </cell>
          <cell r="AK9">
            <v>12714372290.652941</v>
          </cell>
          <cell r="AL9">
            <v>12695583623.761974</v>
          </cell>
        </row>
        <row r="10">
          <cell r="F10">
            <v>4556539571.7178974</v>
          </cell>
          <cell r="G10">
            <v>5434161808.4741287</v>
          </cell>
          <cell r="H10">
            <v>5882989576.138937</v>
          </cell>
          <cell r="I10">
            <v>7339634558.6728449</v>
          </cell>
          <cell r="J10">
            <v>7350379642.5024815</v>
          </cell>
          <cell r="K10">
            <v>7306227872.850503</v>
          </cell>
          <cell r="L10">
            <v>10116977505.30201</v>
          </cell>
          <cell r="M10">
            <v>10741658333.617458</v>
          </cell>
          <cell r="N10">
            <v>10250828957.770872</v>
          </cell>
          <cell r="O10">
            <v>14986674178.339043</v>
          </cell>
          <cell r="P10">
            <v>13061315086.628635</v>
          </cell>
          <cell r="Q10">
            <v>14631924958.799568</v>
          </cell>
          <cell r="R10">
            <v>13156555275.623068</v>
          </cell>
          <cell r="S10">
            <v>15577528352.556856</v>
          </cell>
          <cell r="T10">
            <v>15116256376.278467</v>
          </cell>
          <cell r="U10">
            <v>16848124044.25</v>
          </cell>
          <cell r="V10">
            <v>15477471209.221245</v>
          </cell>
          <cell r="W10">
            <v>16283207669.415794</v>
          </cell>
          <cell r="X10">
            <v>11277991785.360001</v>
          </cell>
          <cell r="Y10">
            <v>11745834571.514782</v>
          </cell>
          <cell r="Z10">
            <v>13698578517.58</v>
          </cell>
          <cell r="AA10">
            <v>14321493327.22994</v>
          </cell>
          <cell r="AB10">
            <v>12355697464.507282</v>
          </cell>
          <cell r="AC10">
            <v>19079293926.695107</v>
          </cell>
          <cell r="AD10">
            <v>16500723185.213974</v>
          </cell>
          <cell r="AE10">
            <v>14389240956.131454</v>
          </cell>
          <cell r="AF10">
            <v>13717926555.604156</v>
          </cell>
          <cell r="AG10">
            <v>14354371612.274496</v>
          </cell>
          <cell r="AH10">
            <v>13963938586.991974</v>
          </cell>
          <cell r="AI10">
            <v>12744302919.400642</v>
          </cell>
          <cell r="AJ10">
            <v>14668541774.624012</v>
          </cell>
          <cell r="AK10">
            <v>15458216995.578474</v>
          </cell>
          <cell r="AL10">
            <v>13477672424.493309</v>
          </cell>
        </row>
        <row r="11">
          <cell r="F11">
            <v>4843030684.2697601</v>
          </cell>
          <cell r="G11">
            <v>6254407304.3738184</v>
          </cell>
          <cell r="H11">
            <v>6159046901.0576229</v>
          </cell>
          <cell r="I11">
            <v>7024203345.3437881</v>
          </cell>
          <cell r="J11">
            <v>7397696482.2955742</v>
          </cell>
          <cell r="K11">
            <v>8077750229.5945263</v>
          </cell>
          <cell r="L11">
            <v>9768161239.7117939</v>
          </cell>
          <cell r="M11">
            <v>10614708571.164429</v>
          </cell>
          <cell r="N11">
            <v>10717966480.95208</v>
          </cell>
          <cell r="O11">
            <v>15191087289.652748</v>
          </cell>
          <cell r="P11">
            <v>13031954501.694199</v>
          </cell>
          <cell r="Q11">
            <v>14462437156.340279</v>
          </cell>
          <cell r="R11">
            <v>13469509150.012331</v>
          </cell>
          <cell r="S11">
            <v>16355144869.214275</v>
          </cell>
          <cell r="T11">
            <v>14134828655.349125</v>
          </cell>
          <cell r="U11">
            <v>17361063296.360001</v>
          </cell>
          <cell r="V11">
            <v>15736685333.922718</v>
          </cell>
          <cell r="W11">
            <v>17514218990.63316</v>
          </cell>
          <cell r="X11">
            <v>10740120122.42</v>
          </cell>
          <cell r="Y11">
            <v>10980013308.987309</v>
          </cell>
          <cell r="Z11">
            <v>14061562297.59</v>
          </cell>
          <cell r="AA11">
            <v>12708765816.605194</v>
          </cell>
          <cell r="AB11">
            <v>13380561933.20113</v>
          </cell>
          <cell r="AC11">
            <v>19263258275.203686</v>
          </cell>
          <cell r="AD11">
            <v>17849098079.854336</v>
          </cell>
          <cell r="AE11">
            <v>16484301541.383751</v>
          </cell>
          <cell r="AF11">
            <v>14725169329.948509</v>
          </cell>
          <cell r="AG11">
            <v>14190808596.477299</v>
          </cell>
          <cell r="AH11">
            <v>14739042764.515102</v>
          </cell>
          <cell r="AI11">
            <v>14057048179.551086</v>
          </cell>
          <cell r="AJ11">
            <v>14679966913.992149</v>
          </cell>
          <cell r="AK11">
            <v>13868242788.158173</v>
          </cell>
          <cell r="AL11">
            <v>12636057396.647324</v>
          </cell>
        </row>
        <row r="12">
          <cell r="F12">
            <v>5729180199.0878363</v>
          </cell>
          <cell r="G12">
            <v>7900147186.1527996</v>
          </cell>
          <cell r="H12">
            <v>8585570309.6875601</v>
          </cell>
          <cell r="I12">
            <v>8930668108.0737476</v>
          </cell>
          <cell r="J12">
            <v>9439127942.3767548</v>
          </cell>
          <cell r="K12">
            <v>9388284311.076086</v>
          </cell>
          <cell r="L12">
            <v>10307551725.170462</v>
          </cell>
          <cell r="M12">
            <v>11154492711.664536</v>
          </cell>
          <cell r="N12">
            <v>12072925124.068768</v>
          </cell>
          <cell r="O12">
            <v>18663800194.512589</v>
          </cell>
          <cell r="P12">
            <v>15973285265.901587</v>
          </cell>
          <cell r="Q12">
            <v>17016911606.731144</v>
          </cell>
          <cell r="R12">
            <v>15949318179.56711</v>
          </cell>
          <cell r="S12">
            <v>17398306839.114624</v>
          </cell>
          <cell r="T12">
            <v>17471517474.379215</v>
          </cell>
          <cell r="U12">
            <v>19222034890.509998</v>
          </cell>
          <cell r="V12">
            <v>17525495532.387341</v>
          </cell>
          <cell r="W12">
            <v>19922539749.491051</v>
          </cell>
          <cell r="X12">
            <v>20056582927.57</v>
          </cell>
          <cell r="Y12">
            <v>18886827265.17057</v>
          </cell>
          <cell r="Z12">
            <v>22536582483.790001</v>
          </cell>
          <cell r="AA12">
            <v>22883315140.14986</v>
          </cell>
          <cell r="AB12">
            <v>20317698243.530338</v>
          </cell>
          <cell r="AC12">
            <v>22173875961.231842</v>
          </cell>
          <cell r="AD12">
            <v>18983557400.150448</v>
          </cell>
          <cell r="AE12">
            <v>18741801520.749725</v>
          </cell>
          <cell r="AF12">
            <v>19345719540.612186</v>
          </cell>
          <cell r="AG12">
            <v>19882335138.21624</v>
          </cell>
          <cell r="AH12">
            <v>17786080896.410061</v>
          </cell>
          <cell r="AI12">
            <v>16915783892.817562</v>
          </cell>
          <cell r="AJ12">
            <v>18166677418.114883</v>
          </cell>
          <cell r="AK12">
            <v>17982910388.924381</v>
          </cell>
          <cell r="AL12">
            <v>16076532923.671238</v>
          </cell>
        </row>
        <row r="13">
          <cell r="F13">
            <v>2504638965.3352942</v>
          </cell>
          <cell r="G13">
            <v>3166638248.6329174</v>
          </cell>
          <cell r="H13">
            <v>3085647560.529881</v>
          </cell>
          <cell r="I13">
            <v>3962374643.51826</v>
          </cell>
          <cell r="J13">
            <v>3747913388.2087226</v>
          </cell>
          <cell r="K13">
            <v>4023954368.177968</v>
          </cell>
          <cell r="L13">
            <v>5023154974.1252823</v>
          </cell>
          <cell r="M13">
            <v>5414054831.793643</v>
          </cell>
          <cell r="N13">
            <v>4515521383.6182995</v>
          </cell>
          <cell r="O13">
            <v>7349488900.2852821</v>
          </cell>
          <cell r="P13">
            <v>6521223475.1093349</v>
          </cell>
          <cell r="Q13">
            <v>6844075709.5363083</v>
          </cell>
          <cell r="R13">
            <v>4673077360.6253176</v>
          </cell>
          <cell r="S13">
            <v>2497061511.1197701</v>
          </cell>
          <cell r="T13">
            <v>5997087304.9493179</v>
          </cell>
          <cell r="U13">
            <v>6537964688.1199999</v>
          </cell>
          <cell r="V13">
            <v>6157547323.4798136</v>
          </cell>
          <cell r="W13">
            <v>6852285578.9056034</v>
          </cell>
          <cell r="X13">
            <v>4670756190.0299997</v>
          </cell>
          <cell r="Y13">
            <v>5205663757.2833767</v>
          </cell>
          <cell r="Z13">
            <v>6713444079.6300001</v>
          </cell>
          <cell r="AA13">
            <v>6524736471.5181065</v>
          </cell>
          <cell r="AB13">
            <v>6407269706.8082008</v>
          </cell>
          <cell r="AC13">
            <v>9027812618.5352516</v>
          </cell>
          <cell r="AD13">
            <v>8029281658.5111599</v>
          </cell>
          <cell r="AE13">
            <v>9000322606.3053951</v>
          </cell>
          <cell r="AF13">
            <v>7193981356.843214</v>
          </cell>
          <cell r="AG13">
            <v>6454807434.5716591</v>
          </cell>
          <cell r="AH13">
            <v>6424534476.3065014</v>
          </cell>
          <cell r="AI13">
            <v>6137086490.2094221</v>
          </cell>
          <cell r="AJ13">
            <v>6594430946.6060905</v>
          </cell>
          <cell r="AK13">
            <v>6502911217.2066774</v>
          </cell>
          <cell r="AL13">
            <v>5804684963.0515461</v>
          </cell>
        </row>
      </sheetData>
      <sheetData sheetId="1">
        <row r="7">
          <cell r="C7">
            <v>43647</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sheetName val="LGCs Details"/>
      <sheetName val="Sum"/>
      <sheetName val="Ecology to States"/>
      <sheetName val="ECOLOGY TO INDIVIDUAL LGCS"/>
      <sheetName val="Ecology to LGCs"/>
    </sheetNames>
    <sheetDataSet>
      <sheetData sheetId="0"/>
      <sheetData sheetId="1">
        <row r="8">
          <cell r="H8">
            <v>498.49729696470382</v>
          </cell>
        </row>
        <row r="9">
          <cell r="H9">
            <v>361.75295454231082</v>
          </cell>
        </row>
        <row r="10">
          <cell r="H10">
            <v>113.4772202029593</v>
          </cell>
        </row>
        <row r="29">
          <cell r="J29">
            <v>416.60156515770859</v>
          </cell>
        </row>
        <row r="30">
          <cell r="J30">
            <v>6.7536111112962001</v>
          </cell>
        </row>
        <row r="31">
          <cell r="J31">
            <v>3.3768055556481</v>
          </cell>
        </row>
        <row r="32">
          <cell r="J32">
            <v>11.346066666977601</v>
          </cell>
        </row>
        <row r="33">
          <cell r="J33">
            <v>13.1144272727136</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sheetName val="LGCs Details"/>
      <sheetName val="Summary"/>
      <sheetName val="Ecology to States"/>
      <sheetName val="ECOLOGY TO INDIVIDUAL LGCS"/>
      <sheetName val="Ecology to LGCs"/>
    </sheetNames>
    <sheetDataSet>
      <sheetData sheetId="0"/>
      <sheetData sheetId="1">
        <row r="8">
          <cell r="H8">
            <v>593.69590805484904</v>
          </cell>
        </row>
        <row r="9">
          <cell r="H9">
            <v>431.48400782495702</v>
          </cell>
        </row>
        <row r="10">
          <cell r="H10">
            <v>125.28413176895329</v>
          </cell>
        </row>
        <row r="30">
          <cell r="J30">
            <v>510.15060430666858</v>
          </cell>
        </row>
        <row r="31">
          <cell r="J31">
            <v>8.3844262587354006</v>
          </cell>
        </row>
        <row r="32">
          <cell r="J32">
            <v>4.1922131293677003</v>
          </cell>
        </row>
        <row r="33">
          <cell r="J33">
            <v>14.0858361146754</v>
          </cell>
        </row>
        <row r="34">
          <cell r="J34">
            <v>15.777707027164199</v>
          </cell>
        </row>
      </sheetData>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sheetName val="LGCs Details"/>
      <sheetName val="Summary"/>
      <sheetName val="Ecology to States"/>
      <sheetName val="ECOLOGY TO INDIVIDUAL LGCS"/>
      <sheetName val="Ecology to LGCs"/>
    </sheetNames>
    <sheetDataSet>
      <sheetData sheetId="0"/>
      <sheetData sheetId="1">
        <row r="8">
          <cell r="I8">
            <v>562.19495597323669</v>
          </cell>
        </row>
        <row r="9">
          <cell r="I9">
            <v>410.55894980527825</v>
          </cell>
        </row>
        <row r="10">
          <cell r="I10">
            <v>136.04278992808</v>
          </cell>
        </row>
        <row r="29">
          <cell r="K29">
            <v>525.68195013452396</v>
          </cell>
        </row>
        <row r="30">
          <cell r="K30">
            <v>8.9781015949412009</v>
          </cell>
        </row>
        <row r="31">
          <cell r="K31">
            <v>4.6118026573155992</v>
          </cell>
        </row>
        <row r="32">
          <cell r="K32">
            <v>14.793516290272001</v>
          </cell>
        </row>
        <row r="33">
          <cell r="K33">
            <v>15.5910457514612</v>
          </cell>
        </row>
      </sheetData>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sheetName val="LGCs Details"/>
      <sheetName val="Summary"/>
      <sheetName val="Ecology to States"/>
      <sheetName val="ECOLOGY TO INDIVIDUAL LGCS"/>
      <sheetName val="Ecology to LGCs"/>
    </sheetNames>
    <sheetDataSet>
      <sheetData sheetId="0"/>
      <sheetData sheetId="1">
        <row r="8">
          <cell r="H8">
            <v>530.44778202843338</v>
          </cell>
        </row>
        <row r="9">
          <cell r="H9">
            <v>387.00141106880017</v>
          </cell>
        </row>
        <row r="10">
          <cell r="H10">
            <v>132.61126648280251</v>
          </cell>
        </row>
        <row r="29">
          <cell r="J29">
            <v>487.92156469363994</v>
          </cell>
        </row>
        <row r="30">
          <cell r="J30">
            <v>8.2742424308500002</v>
          </cell>
        </row>
        <row r="31">
          <cell r="J31">
            <v>4.1371212154250001</v>
          </cell>
        </row>
        <row r="32">
          <cell r="J32">
            <v>13.900727283829999</v>
          </cell>
        </row>
        <row r="33">
          <cell r="J33">
            <v>14.46144291637</v>
          </cell>
        </row>
      </sheetData>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s Details"/>
      <sheetName val="LGCs Details"/>
      <sheetName val="Summary"/>
      <sheetName val="Ecology to States"/>
      <sheetName val="ECOLOGY TO INDIVIDUAL LGCS"/>
      <sheetName val="Ecology to LGCs"/>
    </sheetNames>
    <sheetDataSet>
      <sheetData sheetId="0"/>
      <sheetData sheetId="1">
        <row r="8">
          <cell r="H8">
            <v>556.74132030892292</v>
          </cell>
        </row>
        <row r="9">
          <cell r="H9">
            <v>406.62625472223755</v>
          </cell>
        </row>
        <row r="10">
          <cell r="H10">
            <v>152.55342790070361</v>
          </cell>
        </row>
        <row r="29">
          <cell r="J29">
            <v>521.66375408904003</v>
          </cell>
        </row>
        <row r="30">
          <cell r="J30">
            <v>8.9173684103399999</v>
          </cell>
        </row>
        <row r="31">
          <cell r="J31">
            <v>4.4586842051649995</v>
          </cell>
        </row>
        <row r="32">
          <cell r="J32">
            <v>14.981178929370001</v>
          </cell>
        </row>
        <row r="33">
          <cell r="J33">
            <v>15.286753138040002</v>
          </cell>
        </row>
      </sheetData>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s Details"/>
      <sheetName val="LGCs Details"/>
      <sheetName val="Summary"/>
      <sheetName val="Ecology to States"/>
      <sheetName val="ECOLOGY TO INDIVIDUAL LGCS"/>
      <sheetName val="Ecology to LGCs"/>
    </sheetNames>
    <sheetDataSet>
      <sheetData sheetId="0"/>
      <sheetData sheetId="1">
        <row r="8">
          <cell r="H8">
            <v>577.84138051083107</v>
          </cell>
        </row>
        <row r="9">
          <cell r="H9">
            <v>419.96852434710496</v>
          </cell>
        </row>
        <row r="10">
          <cell r="H10">
            <v>124.07641586671299</v>
          </cell>
        </row>
        <row r="30">
          <cell r="J30">
            <v>496.68308730120339</v>
          </cell>
        </row>
        <row r="31">
          <cell r="J31">
            <v>8.1643238341371998</v>
          </cell>
        </row>
        <row r="32">
          <cell r="J32">
            <v>4.0821619170685999</v>
          </cell>
        </row>
        <row r="33">
          <cell r="J33">
            <v>13.716064041350499</v>
          </cell>
        </row>
        <row r="34">
          <cell r="J34">
            <v>15.358136787387199</v>
          </cell>
        </row>
      </sheetData>
      <sheetData sheetId="2"/>
      <sheetData sheetId="3"/>
      <sheetData sheetId="4"/>
      <sheetData sheetId="5"/>
      <sheetData sheetId="6"/>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s Details"/>
      <sheetName val="LGCs Details"/>
      <sheetName val="Summary"/>
      <sheetName val="Ecology to States"/>
      <sheetName val="ECOLOGY TO INDIVIDUAL LGCS"/>
      <sheetName val="Ecology to LGCs"/>
    </sheetNames>
    <sheetDataSet>
      <sheetData sheetId="0"/>
      <sheetData sheetId="1">
        <row r="8">
          <cell r="I8">
            <v>607.41761758251266</v>
          </cell>
        </row>
        <row r="9">
          <cell r="I9">
            <v>444.85351954013566</v>
          </cell>
        </row>
        <row r="10">
          <cell r="I10">
            <v>120.7581094074052</v>
          </cell>
        </row>
        <row r="31">
          <cell r="K31">
            <v>595.43054176937744</v>
          </cell>
        </row>
        <row r="32">
          <cell r="K32">
            <v>10.3698244896503</v>
          </cell>
        </row>
        <row r="33">
          <cell r="K33">
            <v>5.1849122448251999</v>
          </cell>
        </row>
        <row r="34">
          <cell r="K34">
            <v>17.421305142612603</v>
          </cell>
        </row>
        <row r="35">
          <cell r="K35">
            <v>16.9765426340314</v>
          </cell>
        </row>
      </sheetData>
      <sheetData sheetId="2"/>
      <sheetData sheetId="3"/>
      <sheetData sheetId="4"/>
      <sheetData sheetId="5"/>
      <sheetData sheetId="6"/>
      <sheetData sheetId="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s Details"/>
      <sheetName val="LGCs Details"/>
      <sheetName val="Summary"/>
      <sheetName val="Ecology to States"/>
      <sheetName val="ECOLOGY TO INDIVIDUAL LGCS"/>
      <sheetName val="Ecology to LGCs"/>
    </sheetNames>
    <sheetDataSet>
      <sheetData sheetId="0" refreshError="1"/>
      <sheetData sheetId="1">
        <row r="8">
          <cell r="H8">
            <v>660.34888006593985</v>
          </cell>
        </row>
        <row r="9">
          <cell r="H9">
            <v>485.03902304983228</v>
          </cell>
        </row>
        <row r="10">
          <cell r="H10">
            <v>120.3593796501748</v>
          </cell>
        </row>
        <row r="31">
          <cell r="J31">
            <v>678.04458072200316</v>
          </cell>
        </row>
        <row r="32">
          <cell r="J32">
            <v>12.022577533586402</v>
          </cell>
        </row>
        <row r="33">
          <cell r="J33">
            <v>6.0112887667932009</v>
          </cell>
        </row>
        <row r="34">
          <cell r="J34">
            <v>20.1979302564203</v>
          </cell>
        </row>
        <row r="35">
          <cell r="J35">
            <v>18.804689700958203</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s Details"/>
      <sheetName val="LGCs Details"/>
      <sheetName val="Summary"/>
      <sheetName val="Ecology to States"/>
      <sheetName val="ECOLOGY TO INDIVIDUAL LGCS"/>
      <sheetName val="Ecology to LGCs"/>
    </sheetNames>
    <sheetDataSet>
      <sheetData sheetId="0" refreshError="1"/>
      <sheetData sheetId="1">
        <row r="7">
          <cell r="H7">
            <v>810.04629671976568</v>
          </cell>
        </row>
        <row r="8">
          <cell r="H8">
            <v>709.83028070724879</v>
          </cell>
        </row>
        <row r="9">
          <cell r="H9">
            <v>522.22814963215035</v>
          </cell>
        </row>
        <row r="10">
          <cell r="H10">
            <v>183.0125408413553</v>
          </cell>
        </row>
        <row r="32">
          <cell r="J32">
            <v>747.11295463065915</v>
          </cell>
        </row>
        <row r="33">
          <cell r="J33">
            <v>13.3686461693443</v>
          </cell>
        </row>
        <row r="34">
          <cell r="J34">
            <v>6.6843230846721005</v>
          </cell>
        </row>
        <row r="35">
          <cell r="J35">
            <v>22.459325564498403</v>
          </cell>
        </row>
        <row r="36">
          <cell r="J36">
            <v>20.4210472705917</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s Details"/>
      <sheetName val="LGCs Details"/>
      <sheetName val="Summary"/>
      <sheetName val="Ecology to States"/>
      <sheetName val="ECOLOGY TO INDIVIDUAL LGCS"/>
      <sheetName val="Ecology to LGCs"/>
    </sheetNames>
    <sheetDataSet>
      <sheetData sheetId="0"/>
      <sheetData sheetId="1">
        <row r="8">
          <cell r="G8">
            <v>727.1703693130969</v>
          </cell>
        </row>
        <row r="9">
          <cell r="G9">
            <v>529.95415183696696</v>
          </cell>
        </row>
        <row r="10">
          <cell r="G10">
            <v>134.95686520011401</v>
          </cell>
        </row>
        <row r="27">
          <cell r="I27">
            <v>656.51689542603799</v>
          </cell>
        </row>
        <row r="28">
          <cell r="I28">
            <v>11.0416103996833</v>
          </cell>
        </row>
        <row r="29">
          <cell r="I29">
            <v>5.5208051998416003</v>
          </cell>
        </row>
        <row r="30">
          <cell r="I30">
            <v>18.549905471467898</v>
          </cell>
        </row>
        <row r="31">
          <cell r="I31">
            <v>19.684381188353303</v>
          </cell>
        </row>
      </sheetData>
      <sheetData sheetId="2"/>
      <sheetData sheetId="3"/>
      <sheetData sheetId="4"/>
      <sheetData sheetId="5"/>
      <sheetData sheetId="6"/>
      <sheetData sheetId="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s Details"/>
      <sheetName val="LGCs Details"/>
      <sheetName val="Summary"/>
      <sheetName val="Ecology to States"/>
      <sheetName val="ECOLOGY TO INDIVIDUAL LGCS"/>
      <sheetName val="Ecology to LGCs"/>
    </sheetNames>
    <sheetDataSet>
      <sheetData sheetId="0"/>
      <sheetData sheetId="1">
        <row r="8">
          <cell r="G8">
            <v>689.12036074007392</v>
          </cell>
        </row>
        <row r="9">
          <cell r="G9">
            <v>505.80279686946051</v>
          </cell>
        </row>
        <row r="10">
          <cell r="G10">
            <v>141.394893434648</v>
          </cell>
        </row>
        <row r="28">
          <cell r="I28">
            <v>699.594639627383</v>
          </cell>
        </row>
        <row r="29">
          <cell r="I29">
            <v>12.351552927958402</v>
          </cell>
        </row>
        <row r="30">
          <cell r="I30">
            <v>6.1757764639792008</v>
          </cell>
        </row>
        <row r="31">
          <cell r="I31">
            <v>20.750608918970102</v>
          </cell>
        </row>
        <row r="32">
          <cell r="I32">
            <v>19.533290258058404</v>
          </cell>
        </row>
      </sheetData>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s Details"/>
      <sheetName val="LGCs Details"/>
      <sheetName val="Summary"/>
      <sheetName val="Ecology to States"/>
      <sheetName val="ECOLOGY TO INDIVIDUAL LGCS"/>
      <sheetName val="Ecology to LGCs"/>
    </sheetNames>
    <sheetDataSet>
      <sheetData sheetId="0"/>
      <sheetData sheetId="1">
        <row r="8">
          <cell r="G8">
            <v>601.73096610315702</v>
          </cell>
        </row>
        <row r="9">
          <cell r="G9">
            <v>445.26566604394702</v>
          </cell>
        </row>
        <row r="10">
          <cell r="G10">
            <v>134.35550370658999</v>
          </cell>
        </row>
        <row r="27">
          <cell r="I27">
            <v>688.87294796300637</v>
          </cell>
        </row>
        <row r="28">
          <cell r="I28">
            <v>12.686703466106001</v>
          </cell>
        </row>
        <row r="29">
          <cell r="I29">
            <v>6.3433517330530007</v>
          </cell>
        </row>
        <row r="30">
          <cell r="I30">
            <v>21.313661823058101</v>
          </cell>
        </row>
        <row r="31">
          <cell r="I31">
            <v>17.941548455882103</v>
          </cell>
        </row>
      </sheetData>
      <sheetData sheetId="2"/>
      <sheetData sheetId="3"/>
      <sheetData sheetId="4"/>
      <sheetData sheetId="5"/>
      <sheetData sheetId="6"/>
      <sheetData sheetId="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sheetName val="LG Details"/>
      <sheetName val="Ecology to States"/>
      <sheetName val="SumSum"/>
      <sheetName val="ECOLOGY TO INDIVIDUAL LGCS"/>
      <sheetName val="Ecology to LGCs"/>
    </sheetNames>
    <sheetDataSet>
      <sheetData sheetId="0"/>
      <sheetData sheetId="1">
        <row r="8">
          <cell r="H8">
            <v>396.69215140510425</v>
          </cell>
        </row>
        <row r="9">
          <cell r="H9">
            <v>288.9280907741109</v>
          </cell>
        </row>
        <row r="10">
          <cell r="H10">
            <v>57.915345733975599</v>
          </cell>
        </row>
        <row r="29">
          <cell r="J29">
            <v>354.31950828595399</v>
          </cell>
        </row>
        <row r="30">
          <cell r="J30">
            <v>5.9301607545064003</v>
          </cell>
        </row>
        <row r="31">
          <cell r="J31">
            <v>2.9650803772500001</v>
          </cell>
        </row>
        <row r="32">
          <cell r="J32">
            <v>9.9626700675600013</v>
          </cell>
        </row>
        <row r="33">
          <cell r="J33">
            <v>10.694925875406401</v>
          </cell>
        </row>
      </sheetData>
      <sheetData sheetId="2"/>
      <sheetData sheetId="3"/>
      <sheetData sheetId="4"/>
      <sheetData sheetId="5"/>
      <sheetData sheetId="6"/>
      <sheetData sheetId="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sheetName val="LG Details"/>
      <sheetName val="Ecology to States"/>
      <sheetName val="SumSum"/>
      <sheetName val="ECOLOGY TO INDIVIDUAL LGCS"/>
      <sheetName val="Ecology to LGCs"/>
    </sheetNames>
    <sheetDataSet>
      <sheetData sheetId="0"/>
      <sheetData sheetId="1">
        <row r="8">
          <cell r="H8">
            <v>379.40673867568722</v>
          </cell>
        </row>
        <row r="9">
          <cell r="H9">
            <v>278.04157677979259</v>
          </cell>
        </row>
        <row r="10">
          <cell r="H10">
            <v>85.100882754648808</v>
          </cell>
        </row>
        <row r="28">
          <cell r="J28">
            <v>375.72779727111998</v>
          </cell>
        </row>
        <row r="29">
          <cell r="J29">
            <v>6.5700736850302004</v>
          </cell>
        </row>
        <row r="30">
          <cell r="J30">
            <v>3.2850368425101002</v>
          </cell>
        </row>
        <row r="31">
          <cell r="J31">
            <v>11.037723790849899</v>
          </cell>
        </row>
        <row r="32">
          <cell r="J32">
            <v>10.647161081270198</v>
          </cell>
        </row>
      </sheetData>
      <sheetData sheetId="2"/>
      <sheetData sheetId="3"/>
      <sheetData sheetId="4"/>
      <sheetData sheetId="5"/>
      <sheetData sheetId="6"/>
      <sheetData sheetId="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
      <sheetName val="LG Details"/>
      <sheetName val="SumSum"/>
      <sheetName val="Ecology to States"/>
      <sheetName val="Ecology to LGCs"/>
      <sheetName val="ECOLOGY TO INDIVIDUAL LGCS"/>
    </sheetNames>
    <sheetDataSet>
      <sheetData sheetId="0"/>
      <sheetData sheetId="1">
        <row r="8">
          <cell r="H8">
            <v>366.95054876876679</v>
          </cell>
        </row>
        <row r="9">
          <cell r="H9">
            <v>267.15211358938234</v>
          </cell>
        </row>
        <row r="10">
          <cell r="H10">
            <v>166.2440838509477</v>
          </cell>
        </row>
        <row r="31">
          <cell r="J31">
            <v>325.29108156822082</v>
          </cell>
        </row>
        <row r="32">
          <cell r="J32">
            <v>5.4254902169018004</v>
          </cell>
        </row>
        <row r="33">
          <cell r="J33">
            <v>2.7127451084509002</v>
          </cell>
        </row>
        <row r="34">
          <cell r="J34">
            <v>9.114823564395099</v>
          </cell>
        </row>
        <row r="35">
          <cell r="J35">
            <v>9.8651192203648002</v>
          </cell>
        </row>
      </sheetData>
      <sheetData sheetId="2"/>
      <sheetData sheetId="3"/>
      <sheetData sheetId="4"/>
      <sheetData sheetId="5"/>
      <sheetData sheetId="6"/>
      <sheetData sheetId="7"/>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sheetName val="LG Details"/>
      <sheetName val="Sumlgcs"/>
      <sheetName val="Ecology to States"/>
      <sheetName val="ECOLOGY TO INDIVIDUAL LGCS"/>
      <sheetName val="Ecology to LGCs"/>
    </sheetNames>
    <sheetDataSet>
      <sheetData sheetId="0"/>
      <sheetData sheetId="1">
        <row r="8">
          <cell r="H8">
            <v>398.68930286935438</v>
          </cell>
        </row>
        <row r="9">
          <cell r="H9">
            <v>288.68828247156273</v>
          </cell>
        </row>
        <row r="10">
          <cell r="H10">
            <v>90.124129037906599</v>
          </cell>
        </row>
        <row r="28">
          <cell r="J28">
            <v>319.44594528871301</v>
          </cell>
        </row>
        <row r="29">
          <cell r="J29">
            <v>5.0663346323917002</v>
          </cell>
        </row>
        <row r="30">
          <cell r="J30">
            <v>2.5331673162003998</v>
          </cell>
        </row>
        <row r="31">
          <cell r="J31">
            <v>8.5114421824179995</v>
          </cell>
        </row>
        <row r="32">
          <cell r="J32">
            <v>10.3326714622337</v>
          </cell>
        </row>
      </sheetData>
      <sheetData sheetId="2"/>
      <sheetData sheetId="3"/>
      <sheetData sheetId="4"/>
      <sheetData sheetId="5"/>
      <sheetData sheetId="6"/>
      <sheetData sheetId="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sheetName val="LG Details"/>
      <sheetName val="SumSum"/>
      <sheetName val="Ecology to States"/>
      <sheetName val="ECOLOGY TO INDIVIDUAL LGCS"/>
      <sheetName val="Ecology to LGCs"/>
    </sheetNames>
    <sheetDataSet>
      <sheetData sheetId="0"/>
      <sheetData sheetId="1">
        <row r="8">
          <cell r="H8">
            <v>403.4022259811411</v>
          </cell>
        </row>
        <row r="9">
          <cell r="H9">
            <v>293.81728687630829</v>
          </cell>
        </row>
        <row r="10">
          <cell r="H10">
            <v>120.45020701922131</v>
          </cell>
        </row>
        <row r="30">
          <cell r="J30">
            <v>360.35520432840718</v>
          </cell>
        </row>
        <row r="31">
          <cell r="J31">
            <v>6.0315024733702005</v>
          </cell>
        </row>
        <row r="32">
          <cell r="J32">
            <v>3.0157512366851003</v>
          </cell>
        </row>
        <row r="33">
          <cell r="J33">
            <v>10.1329241552619</v>
          </cell>
        </row>
        <row r="34">
          <cell r="J34">
            <v>10.876312071224</v>
          </cell>
        </row>
      </sheetData>
      <sheetData sheetId="2"/>
      <sheetData sheetId="3"/>
      <sheetData sheetId="4"/>
      <sheetData sheetId="5"/>
      <sheetData sheetId="6"/>
      <sheetData sheetId="7"/>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sheetName val="LG Details"/>
      <sheetName val="SumSum"/>
      <sheetName val="Ecology to States"/>
      <sheetName val="ECOLOGY TO INDIVIDUAL LGCS"/>
      <sheetName val="Ecology to LGCs"/>
    </sheetNames>
    <sheetDataSet>
      <sheetData sheetId="0"/>
      <sheetData sheetId="1">
        <row r="8">
          <cell r="H8">
            <v>388.41982935754055</v>
          </cell>
        </row>
        <row r="9">
          <cell r="H9">
            <v>282.47615004359142</v>
          </cell>
        </row>
        <row r="10">
          <cell r="H10">
            <v>106.50233798183071</v>
          </cell>
        </row>
        <row r="32">
          <cell r="J32">
            <v>337.69624577732691</v>
          </cell>
        </row>
        <row r="33">
          <cell r="J33">
            <v>5.5813657665150007</v>
          </cell>
        </row>
        <row r="34">
          <cell r="J34">
            <v>2.7906828832575004</v>
          </cell>
        </row>
        <row r="35">
          <cell r="J35">
            <v>9.3766944877452012</v>
          </cell>
        </row>
        <row r="36">
          <cell r="J36">
            <v>10.367080488045001</v>
          </cell>
        </row>
      </sheetData>
      <sheetData sheetId="2"/>
      <sheetData sheetId="3"/>
      <sheetData sheetId="4"/>
      <sheetData sheetId="5"/>
      <sheetData sheetId="6"/>
      <sheetData sheetId="7"/>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sheetName val="LG Details"/>
      <sheetName val="Sum"/>
      <sheetName val="Ecology to States"/>
      <sheetName val="ECOLOGY TO INDIVIDUAL LGCS"/>
      <sheetName val="Ecology to LGCs"/>
    </sheetNames>
    <sheetDataSet>
      <sheetData sheetId="0"/>
      <sheetData sheetId="1">
        <row r="8">
          <cell r="I8">
            <v>461.97803812620396</v>
          </cell>
        </row>
        <row r="9">
          <cell r="I9">
            <v>337.01890021695777</v>
          </cell>
        </row>
        <row r="10">
          <cell r="I10">
            <v>95.597860595909097</v>
          </cell>
        </row>
        <row r="29">
          <cell r="K29">
            <v>424.32014039377799</v>
          </cell>
        </row>
        <row r="30">
          <cell r="K30">
            <v>7.1910725361895</v>
          </cell>
        </row>
        <row r="31">
          <cell r="K31">
            <v>3.5955362680948002</v>
          </cell>
        </row>
        <row r="32">
          <cell r="K32">
            <v>12.0810018607984</v>
          </cell>
        </row>
        <row r="33">
          <cell r="K33">
            <v>12.587724135372101</v>
          </cell>
        </row>
      </sheetData>
      <sheetData sheetId="2"/>
      <sheetData sheetId="3"/>
      <sheetData sheetId="4"/>
      <sheetData sheetId="5"/>
      <sheetData sheetId="6"/>
      <sheetData sheetId="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sheetName val="LGC Details"/>
      <sheetName val="SumSum"/>
      <sheetName val="Ecology to States"/>
      <sheetName val="ECOLOGY TO INDIVIDUAL LGCS"/>
      <sheetName val="Ecology to LGCs"/>
    </sheetNames>
    <sheetDataSet>
      <sheetData sheetId="0"/>
      <sheetData sheetId="1">
        <row r="8">
          <cell r="I8">
            <v>473.47657203031122</v>
          </cell>
        </row>
        <row r="9">
          <cell r="I9">
            <v>343.70326932686481</v>
          </cell>
        </row>
        <row r="10">
          <cell r="I10">
            <v>109.8163687016214</v>
          </cell>
        </row>
        <row r="30">
          <cell r="K30">
            <v>398.01763164494741</v>
          </cell>
        </row>
        <row r="31">
          <cell r="K31">
            <v>6.4713443595182003</v>
          </cell>
        </row>
        <row r="32">
          <cell r="K32">
            <v>3.2356721797591002</v>
          </cell>
        </row>
        <row r="33">
          <cell r="K33">
            <v>10.8718585239905</v>
          </cell>
        </row>
        <row r="34">
          <cell r="K34">
            <v>12.4825893743979</v>
          </cell>
        </row>
      </sheetData>
      <sheetData sheetId="2"/>
      <sheetData sheetId="3"/>
      <sheetData sheetId="4"/>
      <sheetData sheetId="5"/>
      <sheetData sheetId="6"/>
      <sheetData sheetId="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sheetName val="LG Details"/>
      <sheetName val="Sumlgcs"/>
      <sheetName val="Ecology to States"/>
      <sheetName val="ECOLOGY TO INDIVIDUAL LGCS"/>
      <sheetName val="Ecology to LGCs"/>
    </sheetNames>
    <sheetDataSet>
      <sheetData sheetId="0"/>
      <sheetData sheetId="1">
        <row r="8">
          <cell r="H8">
            <v>422.86096974813688</v>
          </cell>
        </row>
        <row r="9">
          <cell r="H9">
            <v>306.53319905993789</v>
          </cell>
        </row>
        <row r="10">
          <cell r="H10">
            <v>99.473785340125303</v>
          </cell>
        </row>
        <row r="29">
          <cell r="J29">
            <v>346.22021248849461</v>
          </cell>
        </row>
        <row r="30">
          <cell r="J30">
            <v>5.5540718545584005</v>
          </cell>
        </row>
        <row r="31">
          <cell r="J31">
            <v>2.7770359272792002</v>
          </cell>
        </row>
        <row r="32">
          <cell r="J32">
            <v>9.3308407156581996</v>
          </cell>
        </row>
        <row r="33">
          <cell r="J33">
            <v>11.043195250448399</v>
          </cell>
        </row>
      </sheetData>
      <sheetData sheetId="2"/>
      <sheetData sheetId="3"/>
      <sheetData sheetId="4"/>
      <sheetData sheetId="5"/>
      <sheetData sheetId="6"/>
      <sheetData sheetId="7"/>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sheetName val="LGCs Details"/>
      <sheetName val="Sum"/>
      <sheetName val="Ecology to States"/>
      <sheetName val="ECOLOGY TO INDIVIDUAL LGCS"/>
      <sheetName val="Ecology to LGCs"/>
    </sheetNames>
    <sheetDataSet>
      <sheetData sheetId="0"/>
      <sheetData sheetId="1">
        <row r="8">
          <cell r="I8">
            <v>453.72398064951238</v>
          </cell>
        </row>
        <row r="9">
          <cell r="I9">
            <v>329.86427158837523</v>
          </cell>
        </row>
        <row r="10">
          <cell r="I10">
            <v>90.4152237322308</v>
          </cell>
        </row>
        <row r="30">
          <cell r="K30">
            <v>392.22332017724824</v>
          </cell>
        </row>
        <row r="31">
          <cell r="K31">
            <v>6.4649183194708</v>
          </cell>
        </row>
        <row r="32">
          <cell r="K32">
            <v>3.23245915973175</v>
          </cell>
        </row>
        <row r="33">
          <cell r="K33">
            <v>10.861062776716</v>
          </cell>
        </row>
        <row r="34">
          <cell r="K34">
            <v>12.084545582535801</v>
          </cell>
        </row>
      </sheetData>
      <sheetData sheetId="2"/>
      <sheetData sheetId="3"/>
      <sheetData sheetId="4"/>
      <sheetData sheetId="5"/>
      <sheetData sheetId="6"/>
      <sheetData sheetId="7"/>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sheetName val="LGCs Details"/>
      <sheetName val="Sum"/>
      <sheetName val="Ecology to States"/>
      <sheetName val="ECOLOGY TO INDIVIDUAL LGCS"/>
      <sheetName val="Ecology to LGCs"/>
    </sheetNames>
    <sheetDataSet>
      <sheetData sheetId="0"/>
      <sheetData sheetId="1">
        <row r="8">
          <cell r="I8">
            <v>490.69703390234645</v>
          </cell>
        </row>
        <row r="9">
          <cell r="I9">
            <v>355.62071750531499</v>
          </cell>
        </row>
        <row r="10">
          <cell r="I10">
            <v>132.40346349864919</v>
          </cell>
        </row>
        <row r="29">
          <cell r="K29">
            <v>399.87818010759941</v>
          </cell>
        </row>
        <row r="30">
          <cell r="K30">
            <v>6.3991528342145001</v>
          </cell>
        </row>
        <row r="31">
          <cell r="K31">
            <v>3.19957641710725</v>
          </cell>
        </row>
        <row r="32">
          <cell r="K32">
            <v>10.750576761480399</v>
          </cell>
        </row>
        <row r="33">
          <cell r="K33">
            <v>12.7933862376613</v>
          </cell>
        </row>
      </sheetData>
      <sheetData sheetId="2"/>
      <sheetData sheetId="3"/>
      <sheetData sheetId="4"/>
      <sheetData sheetId="5"/>
      <sheetData sheetId="6"/>
      <sheetData sheetId="7"/>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NTHENTRY"/>
      <sheetName val="Sum &amp; FG"/>
      <sheetName val="State Details"/>
      <sheetName val="LGCs Details"/>
      <sheetName val="Summary"/>
      <sheetName val="Ecology to States"/>
      <sheetName val="ECOLOGY TO INDIVIDUAL LGCS"/>
      <sheetName val="Ecology to LGCs"/>
    </sheetNames>
    <sheetDataSet>
      <sheetData sheetId="0"/>
      <sheetData sheetId="1">
        <row r="8">
          <cell r="H8">
            <v>549.79217448019995</v>
          </cell>
        </row>
        <row r="9">
          <cell r="H9">
            <v>402.55284620397998</v>
          </cell>
        </row>
        <row r="10">
          <cell r="H10">
            <v>193.29083540425</v>
          </cell>
        </row>
        <row r="29">
          <cell r="J29">
            <v>536.83048814986</v>
          </cell>
        </row>
        <row r="30">
          <cell r="J30">
            <v>9.3345591075099996</v>
          </cell>
        </row>
        <row r="31">
          <cell r="J31">
            <v>4.6672795537600003</v>
          </cell>
        </row>
        <row r="32">
          <cell r="J32">
            <v>15.682059300620001</v>
          </cell>
        </row>
        <row r="33">
          <cell r="J33">
            <v>15.342014210060002</v>
          </cell>
        </row>
      </sheetData>
      <sheetData sheetId="2"/>
      <sheetData sheetId="3"/>
      <sheetData sheetId="4"/>
      <sheetData sheetId="5"/>
      <sheetData sheetId="6"/>
      <sheetData sheetId="7"/>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Cumulative Benefit"/>
      <sheetName val="2025"/>
      <sheetName val="2024"/>
      <sheetName val="2023"/>
      <sheetName val="2022"/>
      <sheetName val="Source Data"/>
      <sheetName val="Monthly Average Analysis"/>
    </sheetNames>
    <sheetDataSet>
      <sheetData sheetId="0"/>
      <sheetData sheetId="1">
        <row r="5">
          <cell r="E5" t="str">
            <v>Additional
allocation</v>
          </cell>
        </row>
      </sheetData>
      <sheetData sheetId="2"/>
      <sheetData sheetId="3"/>
      <sheetData sheetId="4"/>
      <sheetData sheetId="5"/>
      <sheetData sheetId="6">
        <row r="7">
          <cell r="C7">
            <v>1995.5150000000001</v>
          </cell>
          <cell r="D7">
            <v>1365.48</v>
          </cell>
          <cell r="E7">
            <v>2383.527</v>
          </cell>
          <cell r="F7">
            <v>4570.326</v>
          </cell>
          <cell r="G7">
            <v>7024.2749999999996</v>
          </cell>
        </row>
        <row r="8">
          <cell r="C8">
            <v>1736.748</v>
          </cell>
          <cell r="D8">
            <v>1307.8420000000001</v>
          </cell>
          <cell r="E8">
            <v>2223.0549999999998</v>
          </cell>
          <cell r="F8">
            <v>5186.09</v>
          </cell>
          <cell r="G8">
            <v>7315.0370000000003</v>
          </cell>
        </row>
        <row r="9">
          <cell r="C9">
            <v>1285.4860000000001</v>
          </cell>
          <cell r="D9">
            <v>963.89599999999996</v>
          </cell>
          <cell r="E9">
            <v>1637.5409999999999</v>
          </cell>
          <cell r="F9">
            <v>3774.3969999999999</v>
          </cell>
          <cell r="G9">
            <v>5350.5349999999999</v>
          </cell>
        </row>
        <row r="10">
          <cell r="C10">
            <v>322.86099999999999</v>
          </cell>
          <cell r="D10">
            <v>250.16800000000001</v>
          </cell>
          <cell r="E10">
            <v>398.04500000000002</v>
          </cell>
          <cell r="F10">
            <v>1347.335</v>
          </cell>
          <cell r="G10">
            <v>1618.883</v>
          </cell>
        </row>
        <row r="11">
          <cell r="C11">
            <v>36.792000000000002</v>
          </cell>
          <cell r="D11">
            <v>24.542000000000002</v>
          </cell>
          <cell r="E11">
            <v>42.932000000000002</v>
          </cell>
          <cell r="F11">
            <v>76.02</v>
          </cell>
          <cell r="G11">
            <v>121.313</v>
          </cell>
        </row>
        <row r="12">
          <cell r="C12">
            <v>18.396000000000001</v>
          </cell>
          <cell r="D12">
            <v>12.271000000000001</v>
          </cell>
          <cell r="E12">
            <v>21.466999999999999</v>
          </cell>
          <cell r="F12">
            <v>38.01</v>
          </cell>
          <cell r="G12">
            <v>60.779000000000003</v>
          </cell>
        </row>
        <row r="13">
          <cell r="C13">
            <v>61.813000000000002</v>
          </cell>
          <cell r="D13">
            <v>41.231000000000002</v>
          </cell>
          <cell r="E13">
            <v>72.129000000000005</v>
          </cell>
          <cell r="F13">
            <v>127.714</v>
          </cell>
          <cell r="G13">
            <v>203.51599999999999</v>
          </cell>
        </row>
        <row r="14">
          <cell r="C14">
            <v>51.866</v>
          </cell>
          <cell r="D14">
            <v>37.054000000000002</v>
          </cell>
          <cell r="E14">
            <v>64.45</v>
          </cell>
          <cell r="F14">
            <v>139.11699999999999</v>
          </cell>
          <cell r="G14">
            <v>202.95099999999999</v>
          </cell>
        </row>
        <row r="17">
          <cell r="C17">
            <v>12</v>
          </cell>
          <cell r="D17">
            <v>5</v>
          </cell>
          <cell r="E17">
            <v>7</v>
          </cell>
          <cell r="F17">
            <v>12</v>
          </cell>
          <cell r="G17">
            <v>12</v>
          </cell>
        </row>
      </sheetData>
      <sheetData sheetId="7">
        <row r="5">
          <cell r="C5" t="str">
            <v>Pre-subsidy
monthly avg</v>
          </cell>
        </row>
      </sheetData>
    </sheetDataSet>
  </externalBook>
</externalLink>
</file>

<file path=xl/persons/person.xml><?xml version="1.0" encoding="utf-8"?>
<personList xmlns="http://schemas.microsoft.com/office/spreadsheetml/2018/threadedcomments" xmlns:x="http://schemas.openxmlformats.org/spreadsheetml/2006/main">
  <person displayName="Oluseun Akinrinoye" id="{A26C6F9D-BC13-46F2-AE67-49217D0D0196}" userId="132881d9c3710eb1" providerId="Windows Live"/>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24" dT="2026-07-21T21:52:27.42" personId="{A26C6F9D-BC13-46F2-AE67-49217D0D0196}" id="{34CD9307-0DF9-4912-B6FE-DDC431C42215}">
    <text xml:space="preserve">This covers for past 3 years
</text>
  </threadedComment>
  <threadedComment ref="E25" dT="2026-07-27T12:17:24.06" personId="{A26C6F9D-BC13-46F2-AE67-49217D0D0196}" id="{C32B7071-E64F-4008-B20E-EB14541A1779}">
    <text xml:space="preserve">Total external borrowing for 2024 and 2025 was 1.76 trillion and 1.84 trillion. Used 1400 conversion as I await exact figures in USD from DMO.
</text>
  </threadedComment>
  <threadedComment ref="E34" dT="2026-07-27T12:19:14.48" personId="{A26C6F9D-BC13-46F2-AE67-49217D0D0196}" id="{77945099-2E36-4244-8C12-774A6F7CFD8F}">
    <text>This is approx, but can use exact numbers if I’m authorized to ask the DG all pending figures for this.</text>
  </threadedComment>
  <threadedComment ref="E35" dT="2026-07-27T12:32:47.93" personId="{A26C6F9D-BC13-46F2-AE67-49217D0D0196}" id="{2C956213-2225-4833-8BAF-EC501FA0E155}">
    <text>$51B represents the total external debt, and assumes CBN exchange rate was 400, but depends on as at what date we want to use.</text>
  </threadedComment>
  <threadedComment ref="L38" dT="2026-07-27T12:19:14.48" personId="{A26C6F9D-BC13-46F2-AE67-49217D0D0196}" id="{18782559-23B0-894D-8F7C-458870CE757A}">
    <text>This is approx, but can use exact numbers if I’m authorized to ask the DG all pending figures for this.</text>
  </threadedComment>
  <threadedComment ref="L39" dT="2026-07-27T12:32:47.93" personId="{A26C6F9D-BC13-46F2-AE67-49217D0D0196}" id="{797A7311-8F1F-8447-828F-9420519EC326}">
    <text>$51B represents the total external debt, and assumes CBN exchange rate was 400, but depends on as at what date we want to use.</text>
  </threadedComment>
  <threadedComment ref="F45" dT="2026-07-27T12:29:19.68" personId="{A26C6F9D-BC13-46F2-AE67-49217D0D0196}" id="{64CEE5B3-4B9D-4464-BC3B-1FAA3BF4A993}">
    <text>This is great insight. Invariably, ways and means securitization and exchnage rate adjustments numbers far outweighs incremental borrowings we have done which is a reason we have so many outstanding liabilities.</text>
  </threadedComment>
  <threadedComment ref="E47" dT="2026-07-27T12:22:57.88" personId="{A26C6F9D-BC13-46F2-AE67-49217D0D0196}" id="{ADBD234E-DF27-451F-AAC1-E7951ABB3226}">
    <text>This entire section is yet to be updated. I am not sure if you already got data for any part of this but I can start liasing with the relevant agencies to get the data if that is okay</text>
  </threadedComment>
</ThreadedComments>
</file>

<file path=xl/threadedComments/threadedComment2.xml><?xml version="1.0" encoding="utf-8"?>
<ThreadedComments xmlns="http://schemas.microsoft.com/office/spreadsheetml/2018/threadedcomments" xmlns:x="http://schemas.openxmlformats.org/spreadsheetml/2006/main">
  <threadedComment ref="B31" dT="2026-08-07T12:24:06.22" personId="{A26C6F9D-BC13-46F2-AE67-49217D0D0196}" id="{CDBD0D1F-2ED4-4167-AA7D-2267CDD65DFE}">
    <text xml:space="preserve">Wage adjustment became effective Jan. 2024. needs questioning why wage bill jump extraordinarily in 2025 again.
</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7.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936"/>
  <sheetViews>
    <sheetView zoomScale="120" zoomScaleNormal="120" workbookViewId="0">
      <selection activeCell="C13" sqref="C13"/>
    </sheetView>
  </sheetViews>
  <sheetFormatPr defaultColWidth="12.7109375" defaultRowHeight="12.95"/>
  <cols>
    <col min="1" max="1" width="4.42578125" style="200" customWidth="1"/>
    <col min="2" max="2" width="96.28515625" customWidth="1"/>
    <col min="3" max="3" width="15.28515625" customWidth="1"/>
  </cols>
  <sheetData>
    <row r="1" spans="1:23" ht="17.100000000000001">
      <c r="A1" s="223"/>
      <c r="B1" s="2" t="s">
        <v>0</v>
      </c>
      <c r="C1" s="1"/>
      <c r="D1" s="1"/>
      <c r="E1" s="1"/>
      <c r="F1" s="1"/>
      <c r="G1" s="1"/>
      <c r="H1" s="1"/>
      <c r="I1" s="1"/>
      <c r="J1" s="1"/>
      <c r="K1" s="1"/>
      <c r="L1" s="1"/>
      <c r="M1" s="1"/>
      <c r="N1" s="1"/>
      <c r="O1" s="1"/>
      <c r="P1" s="1"/>
      <c r="Q1" s="1"/>
      <c r="R1" s="1"/>
      <c r="S1" s="1"/>
      <c r="T1" s="1"/>
      <c r="U1" s="1"/>
      <c r="V1" s="1"/>
      <c r="W1" s="1"/>
    </row>
    <row r="2" spans="1:23" ht="30">
      <c r="A2" s="224">
        <v>1</v>
      </c>
      <c r="B2" s="3" t="s">
        <v>1</v>
      </c>
      <c r="C2" s="1"/>
      <c r="D2" s="1"/>
      <c r="E2" s="1"/>
      <c r="F2" s="1"/>
      <c r="G2" s="1"/>
      <c r="H2" s="1"/>
      <c r="I2" s="1"/>
      <c r="J2" s="1"/>
      <c r="K2" s="1"/>
      <c r="L2" s="1"/>
      <c r="M2" s="1"/>
      <c r="N2" s="1"/>
      <c r="O2" s="1"/>
      <c r="P2" s="1"/>
      <c r="Q2" s="1"/>
      <c r="R2" s="1"/>
      <c r="S2" s="1"/>
      <c r="T2" s="1"/>
      <c r="U2" s="1"/>
      <c r="V2" s="1"/>
      <c r="W2" s="1"/>
    </row>
    <row r="3" spans="1:23" ht="30">
      <c r="A3" s="224">
        <f t="shared" ref="A3:A11" si="0">A2+1</f>
        <v>2</v>
      </c>
      <c r="B3" s="3" t="s">
        <v>2</v>
      </c>
      <c r="C3" s="1"/>
      <c r="D3" s="1"/>
      <c r="E3" s="1"/>
      <c r="F3" s="1"/>
      <c r="G3" s="1"/>
      <c r="H3" s="1"/>
      <c r="I3" s="1"/>
      <c r="J3" s="1"/>
      <c r="K3" s="1"/>
      <c r="L3" s="1"/>
      <c r="M3" s="1"/>
      <c r="N3" s="1"/>
      <c r="O3" s="1"/>
      <c r="P3" s="1"/>
      <c r="Q3" s="1"/>
      <c r="R3" s="1"/>
      <c r="S3" s="1"/>
      <c r="T3" s="1"/>
      <c r="U3" s="1"/>
      <c r="V3" s="1"/>
      <c r="W3" s="1"/>
    </row>
    <row r="4" spans="1:23" ht="15">
      <c r="A4" s="224">
        <f t="shared" si="0"/>
        <v>3</v>
      </c>
      <c r="B4" s="3" t="s">
        <v>3</v>
      </c>
      <c r="C4" s="1"/>
      <c r="D4" s="1"/>
      <c r="E4" s="1"/>
      <c r="F4" s="1"/>
      <c r="G4" s="1"/>
      <c r="H4" s="1"/>
      <c r="I4" s="1"/>
      <c r="J4" s="1"/>
      <c r="K4" s="1"/>
      <c r="L4" s="1"/>
      <c r="M4" s="1"/>
      <c r="N4" s="1"/>
      <c r="O4" s="1"/>
      <c r="P4" s="1"/>
      <c r="Q4" s="1"/>
      <c r="R4" s="1"/>
      <c r="S4" s="1"/>
      <c r="T4" s="1"/>
      <c r="U4" s="1"/>
      <c r="V4" s="1"/>
      <c r="W4" s="1"/>
    </row>
    <row r="5" spans="1:23" ht="15">
      <c r="A5" s="224">
        <f t="shared" si="0"/>
        <v>4</v>
      </c>
      <c r="B5" s="3" t="s">
        <v>4</v>
      </c>
      <c r="C5" s="1"/>
      <c r="D5" s="1"/>
      <c r="E5" s="1"/>
      <c r="F5" s="1"/>
      <c r="G5" s="1"/>
      <c r="H5" s="1"/>
      <c r="I5" s="1"/>
      <c r="J5" s="1"/>
      <c r="K5" s="1"/>
      <c r="L5" s="1"/>
      <c r="M5" s="1"/>
      <c r="N5" s="1"/>
      <c r="O5" s="1"/>
      <c r="P5" s="1"/>
      <c r="Q5" s="1"/>
      <c r="R5" s="1"/>
      <c r="S5" s="1"/>
      <c r="T5" s="1"/>
      <c r="U5" s="1"/>
      <c r="V5" s="1"/>
      <c r="W5" s="1"/>
    </row>
    <row r="6" spans="1:23" ht="30">
      <c r="A6" s="224">
        <f t="shared" si="0"/>
        <v>5</v>
      </c>
      <c r="B6" s="3" t="s">
        <v>5</v>
      </c>
      <c r="C6" s="1"/>
      <c r="D6" s="1"/>
      <c r="E6" s="1"/>
      <c r="F6" s="1"/>
      <c r="G6" s="1"/>
      <c r="H6" s="1"/>
      <c r="I6" s="1"/>
      <c r="J6" s="1"/>
      <c r="K6" s="1"/>
      <c r="L6" s="1"/>
      <c r="M6" s="1"/>
      <c r="N6" s="1"/>
      <c r="O6" s="1"/>
      <c r="P6" s="1"/>
      <c r="Q6" s="1"/>
      <c r="R6" s="1"/>
      <c r="S6" s="1"/>
      <c r="T6" s="1"/>
      <c r="U6" s="1"/>
      <c r="V6" s="1"/>
      <c r="W6" s="1"/>
    </row>
    <row r="7" spans="1:23" ht="30">
      <c r="A7" s="224">
        <f t="shared" si="0"/>
        <v>6</v>
      </c>
      <c r="B7" s="3" t="s">
        <v>6</v>
      </c>
      <c r="C7" s="1"/>
      <c r="D7" s="1"/>
      <c r="E7" s="1"/>
      <c r="F7" s="1"/>
      <c r="G7" s="1"/>
      <c r="H7" s="1"/>
      <c r="I7" s="1"/>
      <c r="J7" s="1"/>
      <c r="K7" s="1"/>
      <c r="L7" s="1"/>
      <c r="M7" s="1"/>
      <c r="N7" s="1"/>
      <c r="O7" s="1"/>
      <c r="P7" s="1"/>
      <c r="Q7" s="1"/>
      <c r="R7" s="1"/>
      <c r="S7" s="1"/>
      <c r="T7" s="1"/>
      <c r="U7" s="1"/>
      <c r="V7" s="1"/>
      <c r="W7" s="1"/>
    </row>
    <row r="8" spans="1:23" ht="30">
      <c r="A8" s="224">
        <f t="shared" si="0"/>
        <v>7</v>
      </c>
      <c r="B8" s="3" t="s">
        <v>7</v>
      </c>
      <c r="C8" s="1"/>
      <c r="D8" s="1"/>
      <c r="E8" s="1"/>
      <c r="F8" s="1"/>
      <c r="G8" s="1"/>
      <c r="H8" s="1"/>
      <c r="I8" s="1"/>
      <c r="J8" s="1"/>
      <c r="K8" s="1"/>
      <c r="L8" s="1"/>
      <c r="M8" s="1"/>
      <c r="N8" s="1"/>
      <c r="O8" s="1"/>
      <c r="P8" s="1"/>
      <c r="Q8" s="1"/>
      <c r="R8" s="1"/>
      <c r="S8" s="1"/>
      <c r="T8" s="1"/>
      <c r="U8" s="1"/>
      <c r="V8" s="1"/>
      <c r="W8" s="1"/>
    </row>
    <row r="9" spans="1:23" ht="30">
      <c r="A9" s="224">
        <f t="shared" si="0"/>
        <v>8</v>
      </c>
      <c r="B9" s="3" t="s">
        <v>8</v>
      </c>
      <c r="C9" s="1"/>
      <c r="D9" s="1"/>
      <c r="E9" s="1"/>
      <c r="F9" s="1"/>
      <c r="G9" s="1"/>
      <c r="H9" s="1"/>
      <c r="I9" s="1"/>
      <c r="J9" s="1"/>
      <c r="K9" s="1"/>
      <c r="L9" s="1"/>
      <c r="M9" s="1"/>
      <c r="N9" s="1"/>
      <c r="O9" s="1"/>
      <c r="P9" s="1"/>
      <c r="Q9" s="1"/>
      <c r="R9" s="1"/>
      <c r="S9" s="1"/>
      <c r="T9" s="1"/>
      <c r="U9" s="1"/>
      <c r="V9" s="1"/>
      <c r="W9" s="1"/>
    </row>
    <row r="10" spans="1:23" ht="30">
      <c r="A10" s="224">
        <f t="shared" si="0"/>
        <v>9</v>
      </c>
      <c r="B10" s="3" t="s">
        <v>9</v>
      </c>
      <c r="C10" s="1"/>
      <c r="D10" s="1"/>
      <c r="E10" s="1"/>
      <c r="F10" s="1"/>
      <c r="G10" s="1"/>
      <c r="H10" s="1"/>
      <c r="I10" s="1"/>
      <c r="J10" s="1"/>
      <c r="K10" s="1"/>
      <c r="L10" s="1"/>
      <c r="M10" s="1"/>
      <c r="N10" s="1"/>
      <c r="O10" s="1"/>
      <c r="P10" s="1"/>
      <c r="Q10" s="1"/>
      <c r="R10" s="1"/>
      <c r="S10" s="1"/>
      <c r="T10" s="1"/>
      <c r="U10" s="1"/>
      <c r="V10" s="1"/>
      <c r="W10" s="1"/>
    </row>
    <row r="11" spans="1:23" ht="30">
      <c r="A11" s="224">
        <f t="shared" si="0"/>
        <v>10</v>
      </c>
      <c r="B11" s="3" t="s">
        <v>10</v>
      </c>
      <c r="C11" s="1"/>
      <c r="D11" s="1"/>
      <c r="E11" s="1"/>
      <c r="F11" s="1"/>
      <c r="G11" s="1"/>
      <c r="H11" s="1"/>
      <c r="I11" s="1"/>
      <c r="J11" s="1"/>
      <c r="K11" s="1"/>
      <c r="L11" s="1"/>
      <c r="M11" s="1"/>
      <c r="N11" s="1"/>
      <c r="O11" s="1"/>
      <c r="P11" s="1"/>
      <c r="Q11" s="1"/>
      <c r="R11" s="1"/>
      <c r="S11" s="1"/>
      <c r="T11" s="1"/>
      <c r="U11" s="1"/>
      <c r="V11" s="1"/>
      <c r="W11" s="1"/>
    </row>
    <row r="12" spans="1:23">
      <c r="A12" s="223"/>
      <c r="B12" s="4"/>
      <c r="C12" s="1"/>
      <c r="D12" s="1"/>
      <c r="E12" s="1"/>
      <c r="F12" s="1"/>
      <c r="G12" s="1"/>
      <c r="H12" s="1"/>
      <c r="I12" s="1"/>
      <c r="J12" s="1"/>
      <c r="K12" s="1"/>
      <c r="L12" s="1"/>
      <c r="M12" s="1"/>
      <c r="N12" s="1"/>
      <c r="O12" s="1"/>
      <c r="P12" s="1"/>
      <c r="Q12" s="1"/>
      <c r="R12" s="1"/>
      <c r="S12" s="1"/>
      <c r="T12" s="1"/>
      <c r="U12" s="1"/>
      <c r="V12" s="1"/>
      <c r="W12" s="1"/>
    </row>
    <row r="13" spans="1:23">
      <c r="A13" s="223"/>
      <c r="B13" s="1"/>
      <c r="C13" s="1"/>
      <c r="D13" s="1"/>
      <c r="E13" s="1"/>
      <c r="F13" s="1"/>
      <c r="G13" s="1"/>
      <c r="H13" s="1"/>
      <c r="I13" s="1"/>
      <c r="J13" s="1"/>
      <c r="K13" s="1"/>
      <c r="L13" s="1"/>
      <c r="M13" s="1"/>
      <c r="N13" s="1"/>
      <c r="O13" s="1"/>
      <c r="P13" s="1"/>
      <c r="Q13" s="1"/>
      <c r="R13" s="1"/>
      <c r="S13" s="1"/>
      <c r="T13" s="1"/>
      <c r="U13" s="1"/>
      <c r="V13" s="1"/>
      <c r="W13" s="1"/>
    </row>
    <row r="14" spans="1:23">
      <c r="A14" s="223"/>
      <c r="B14" s="1"/>
      <c r="C14" s="1"/>
      <c r="D14" s="1"/>
      <c r="E14" s="1"/>
      <c r="F14" s="1"/>
      <c r="G14" s="1"/>
      <c r="H14" s="1"/>
      <c r="I14" s="1"/>
      <c r="J14" s="1"/>
      <c r="K14" s="1"/>
      <c r="L14" s="1"/>
      <c r="M14" s="1"/>
      <c r="N14" s="1"/>
      <c r="O14" s="1"/>
      <c r="P14" s="1"/>
      <c r="Q14" s="1"/>
      <c r="R14" s="1"/>
      <c r="S14" s="1"/>
      <c r="T14" s="1"/>
      <c r="U14" s="1"/>
      <c r="V14" s="1"/>
      <c r="W14" s="1"/>
    </row>
    <row r="15" spans="1:23">
      <c r="A15" s="223"/>
      <c r="B15" s="1"/>
      <c r="C15" s="1"/>
      <c r="D15" s="1"/>
      <c r="E15" s="1"/>
      <c r="F15" s="1"/>
      <c r="G15" s="1"/>
      <c r="H15" s="1"/>
      <c r="I15" s="1"/>
      <c r="J15" s="1"/>
      <c r="K15" s="1"/>
      <c r="L15" s="1"/>
      <c r="M15" s="1"/>
      <c r="N15" s="1"/>
      <c r="O15" s="1"/>
      <c r="P15" s="1"/>
      <c r="Q15" s="1"/>
      <c r="R15" s="1"/>
      <c r="S15" s="1"/>
      <c r="T15" s="1"/>
      <c r="U15" s="1"/>
      <c r="V15" s="1"/>
      <c r="W15" s="1"/>
    </row>
    <row r="16" spans="1:23">
      <c r="A16" s="223"/>
      <c r="B16" s="1"/>
      <c r="C16" s="1"/>
      <c r="D16" s="1"/>
      <c r="E16" s="1"/>
      <c r="F16" s="1"/>
      <c r="G16" s="1"/>
      <c r="H16" s="1"/>
      <c r="I16" s="1"/>
      <c r="J16" s="1"/>
      <c r="K16" s="1"/>
      <c r="L16" s="1"/>
      <c r="M16" s="1"/>
      <c r="N16" s="1"/>
      <c r="O16" s="1"/>
      <c r="P16" s="1"/>
      <c r="Q16" s="1"/>
      <c r="R16" s="1"/>
      <c r="S16" s="1"/>
      <c r="T16" s="1"/>
      <c r="U16" s="1"/>
      <c r="V16" s="1"/>
      <c r="W16" s="1"/>
    </row>
    <row r="17" spans="1:23">
      <c r="A17" s="223"/>
      <c r="B17" s="1"/>
      <c r="C17" s="1"/>
      <c r="D17" s="1"/>
      <c r="E17" s="1"/>
      <c r="F17" s="1"/>
      <c r="G17" s="1"/>
      <c r="H17" s="1"/>
      <c r="I17" s="1"/>
      <c r="J17" s="1"/>
      <c r="K17" s="1"/>
      <c r="L17" s="1"/>
      <c r="M17" s="1"/>
      <c r="N17" s="1"/>
      <c r="O17" s="1"/>
      <c r="P17" s="1"/>
      <c r="Q17" s="1"/>
      <c r="R17" s="1"/>
      <c r="S17" s="1"/>
      <c r="T17" s="1"/>
      <c r="U17" s="1"/>
      <c r="V17" s="1"/>
      <c r="W17" s="1"/>
    </row>
    <row r="18" spans="1:23">
      <c r="A18" s="223"/>
      <c r="B18" s="1"/>
      <c r="C18" s="1"/>
      <c r="D18" s="1"/>
      <c r="E18" s="1"/>
      <c r="F18" s="1"/>
      <c r="G18" s="1"/>
      <c r="H18" s="1"/>
      <c r="I18" s="1"/>
      <c r="J18" s="1"/>
      <c r="K18" s="1"/>
      <c r="L18" s="1"/>
      <c r="M18" s="1"/>
      <c r="N18" s="1"/>
      <c r="O18" s="1"/>
      <c r="P18" s="1"/>
      <c r="Q18" s="1"/>
      <c r="R18" s="1"/>
      <c r="S18" s="1"/>
      <c r="T18" s="1"/>
      <c r="U18" s="1"/>
      <c r="V18" s="1"/>
      <c r="W18" s="1"/>
    </row>
    <row r="19" spans="1:23">
      <c r="A19" s="223"/>
      <c r="B19" s="1"/>
      <c r="C19" s="1"/>
      <c r="D19" s="1"/>
      <c r="E19" s="1"/>
      <c r="F19" s="1"/>
      <c r="G19" s="1"/>
      <c r="H19" s="1"/>
      <c r="I19" s="1"/>
      <c r="J19" s="1"/>
      <c r="K19" s="1"/>
      <c r="L19" s="1"/>
      <c r="M19" s="1"/>
      <c r="N19" s="1"/>
      <c r="O19" s="1"/>
      <c r="P19" s="1"/>
      <c r="Q19" s="1"/>
      <c r="R19" s="1"/>
      <c r="S19" s="1"/>
      <c r="T19" s="1"/>
      <c r="U19" s="1"/>
      <c r="V19" s="1"/>
      <c r="W19" s="1"/>
    </row>
    <row r="20" spans="1:23">
      <c r="A20" s="223"/>
      <c r="B20" s="1"/>
      <c r="C20" s="1"/>
      <c r="D20" s="1"/>
      <c r="E20" s="1"/>
      <c r="F20" s="1"/>
      <c r="G20" s="1"/>
      <c r="H20" s="1"/>
      <c r="I20" s="1"/>
      <c r="J20" s="1"/>
      <c r="K20" s="1"/>
      <c r="L20" s="1"/>
      <c r="M20" s="1"/>
      <c r="N20" s="1"/>
      <c r="O20" s="1"/>
      <c r="P20" s="1"/>
      <c r="Q20" s="1"/>
      <c r="R20" s="1"/>
      <c r="S20" s="1"/>
      <c r="T20" s="1"/>
      <c r="U20" s="1"/>
      <c r="V20" s="1"/>
      <c r="W20" s="1"/>
    </row>
    <row r="21" spans="1:23">
      <c r="A21" s="223"/>
      <c r="B21" s="1"/>
      <c r="C21" s="1"/>
      <c r="D21" s="1"/>
      <c r="E21" s="1"/>
      <c r="F21" s="1"/>
      <c r="G21" s="1"/>
      <c r="H21" s="1"/>
      <c r="I21" s="1"/>
      <c r="J21" s="1"/>
      <c r="K21" s="1"/>
      <c r="L21" s="1"/>
      <c r="M21" s="1"/>
      <c r="N21" s="1"/>
      <c r="O21" s="1"/>
      <c r="P21" s="1"/>
      <c r="Q21" s="1"/>
      <c r="R21" s="1"/>
      <c r="S21" s="1"/>
      <c r="T21" s="1"/>
      <c r="U21" s="1"/>
      <c r="V21" s="1"/>
      <c r="W21" s="1"/>
    </row>
    <row r="22" spans="1:23">
      <c r="A22" s="223"/>
      <c r="B22" s="1"/>
      <c r="C22" s="1"/>
      <c r="D22" s="1"/>
      <c r="E22" s="1"/>
      <c r="F22" s="1"/>
      <c r="G22" s="1"/>
      <c r="H22" s="1"/>
      <c r="I22" s="1"/>
      <c r="J22" s="1"/>
      <c r="K22" s="1"/>
      <c r="L22" s="1"/>
      <c r="M22" s="1"/>
      <c r="N22" s="1"/>
      <c r="O22" s="1"/>
      <c r="P22" s="1"/>
      <c r="Q22" s="1"/>
      <c r="R22" s="1"/>
      <c r="S22" s="1"/>
      <c r="T22" s="1"/>
      <c r="U22" s="1"/>
      <c r="V22" s="1"/>
      <c r="W22" s="1"/>
    </row>
    <row r="23" spans="1:23">
      <c r="A23" s="223"/>
      <c r="B23" s="1"/>
      <c r="C23" s="1"/>
      <c r="D23" s="1"/>
      <c r="E23" s="1"/>
      <c r="F23" s="1"/>
      <c r="G23" s="1"/>
      <c r="H23" s="1"/>
      <c r="I23" s="1"/>
      <c r="J23" s="1"/>
      <c r="K23" s="1"/>
      <c r="L23" s="1"/>
      <c r="M23" s="1"/>
      <c r="N23" s="1"/>
      <c r="O23" s="1"/>
      <c r="P23" s="1"/>
      <c r="Q23" s="1"/>
      <c r="R23" s="1"/>
      <c r="S23" s="1"/>
      <c r="T23" s="1"/>
      <c r="U23" s="1"/>
      <c r="V23" s="1"/>
      <c r="W23" s="1"/>
    </row>
    <row r="24" spans="1:23">
      <c r="A24" s="223"/>
      <c r="B24" s="1"/>
      <c r="C24" s="1"/>
      <c r="D24" s="1"/>
      <c r="E24" s="1"/>
      <c r="F24" s="1"/>
      <c r="G24" s="1"/>
      <c r="H24" s="1"/>
      <c r="I24" s="1"/>
      <c r="J24" s="1"/>
      <c r="K24" s="1"/>
      <c r="L24" s="1"/>
      <c r="M24" s="1"/>
      <c r="N24" s="1"/>
      <c r="O24" s="1"/>
      <c r="P24" s="1"/>
      <c r="Q24" s="1"/>
      <c r="R24" s="1"/>
      <c r="S24" s="1"/>
      <c r="T24" s="1"/>
      <c r="U24" s="1"/>
      <c r="V24" s="1"/>
      <c r="W24" s="1"/>
    </row>
    <row r="25" spans="1:23">
      <c r="A25" s="223"/>
      <c r="B25" s="1"/>
      <c r="C25" s="1"/>
      <c r="D25" s="1"/>
      <c r="E25" s="1"/>
      <c r="F25" s="1"/>
      <c r="G25" s="1"/>
      <c r="H25" s="1"/>
      <c r="I25" s="1"/>
      <c r="J25" s="1"/>
      <c r="K25" s="1"/>
      <c r="L25" s="1"/>
      <c r="M25" s="1"/>
      <c r="N25" s="1"/>
      <c r="O25" s="1"/>
      <c r="P25" s="1"/>
      <c r="Q25" s="1"/>
      <c r="R25" s="1"/>
      <c r="S25" s="1"/>
      <c r="T25" s="1"/>
      <c r="U25" s="1"/>
      <c r="V25" s="1"/>
      <c r="W25" s="1"/>
    </row>
    <row r="26" spans="1:23">
      <c r="A26" s="223"/>
      <c r="B26" s="1"/>
      <c r="C26" s="1"/>
      <c r="D26" s="1"/>
      <c r="E26" s="1"/>
      <c r="F26" s="1"/>
      <c r="G26" s="1"/>
      <c r="H26" s="1"/>
      <c r="I26" s="1"/>
      <c r="J26" s="1"/>
      <c r="K26" s="1"/>
      <c r="L26" s="1"/>
      <c r="M26" s="1"/>
      <c r="N26" s="1"/>
      <c r="O26" s="1"/>
      <c r="P26" s="1"/>
      <c r="Q26" s="1"/>
      <c r="R26" s="1"/>
      <c r="S26" s="1"/>
      <c r="T26" s="1"/>
      <c r="U26" s="1"/>
      <c r="V26" s="1"/>
      <c r="W26" s="1"/>
    </row>
    <row r="27" spans="1:23">
      <c r="A27" s="223"/>
      <c r="B27" s="1"/>
      <c r="C27" s="1"/>
      <c r="D27" s="1"/>
      <c r="E27" s="1"/>
      <c r="F27" s="1"/>
      <c r="G27" s="1"/>
      <c r="H27" s="1"/>
      <c r="I27" s="1"/>
      <c r="J27" s="1"/>
      <c r="K27" s="1"/>
      <c r="L27" s="1"/>
      <c r="M27" s="1"/>
      <c r="N27" s="1"/>
      <c r="O27" s="1"/>
      <c r="P27" s="1"/>
      <c r="Q27" s="1"/>
      <c r="R27" s="1"/>
      <c r="S27" s="1"/>
      <c r="T27" s="1"/>
      <c r="U27" s="1"/>
      <c r="V27" s="1"/>
      <c r="W27" s="1"/>
    </row>
    <row r="28" spans="1:23">
      <c r="A28" s="223"/>
      <c r="B28" s="1"/>
      <c r="C28" s="1"/>
      <c r="D28" s="1"/>
      <c r="E28" s="1"/>
      <c r="F28" s="1"/>
      <c r="G28" s="1"/>
      <c r="H28" s="1"/>
      <c r="I28" s="1"/>
      <c r="J28" s="1"/>
      <c r="K28" s="1"/>
      <c r="L28" s="1"/>
      <c r="M28" s="1"/>
      <c r="N28" s="1"/>
      <c r="O28" s="1"/>
      <c r="P28" s="1"/>
      <c r="Q28" s="1"/>
      <c r="R28" s="1"/>
      <c r="S28" s="1"/>
      <c r="T28" s="1"/>
      <c r="U28" s="1"/>
      <c r="V28" s="1"/>
      <c r="W28" s="1"/>
    </row>
    <row r="29" spans="1:23">
      <c r="A29" s="223"/>
      <c r="B29" s="1"/>
      <c r="C29" s="1"/>
      <c r="D29" s="1"/>
      <c r="E29" s="1"/>
      <c r="F29" s="1"/>
      <c r="G29" s="1"/>
      <c r="H29" s="1"/>
      <c r="I29" s="1"/>
      <c r="J29" s="1"/>
      <c r="K29" s="1"/>
      <c r="L29" s="1"/>
      <c r="M29" s="1"/>
      <c r="N29" s="1"/>
      <c r="O29" s="1"/>
      <c r="P29" s="1"/>
      <c r="Q29" s="1"/>
      <c r="R29" s="1"/>
      <c r="S29" s="1"/>
      <c r="T29" s="1"/>
      <c r="U29" s="1"/>
      <c r="V29" s="1"/>
      <c r="W29" s="1"/>
    </row>
    <row r="30" spans="1:23">
      <c r="A30" s="223"/>
      <c r="B30" s="1"/>
      <c r="C30" s="1"/>
      <c r="D30" s="1"/>
      <c r="E30" s="1"/>
      <c r="F30" s="1"/>
      <c r="G30" s="1"/>
      <c r="H30" s="1"/>
      <c r="I30" s="1"/>
      <c r="J30" s="1"/>
      <c r="K30" s="1"/>
      <c r="L30" s="1"/>
      <c r="M30" s="1"/>
      <c r="N30" s="1"/>
      <c r="O30" s="1"/>
      <c r="P30" s="1"/>
      <c r="Q30" s="1"/>
      <c r="R30" s="1"/>
      <c r="S30" s="1"/>
      <c r="T30" s="1"/>
      <c r="U30" s="1"/>
      <c r="V30" s="1"/>
      <c r="W30" s="1"/>
    </row>
    <row r="31" spans="1:23">
      <c r="A31" s="223"/>
      <c r="B31" s="1"/>
      <c r="C31" s="1"/>
      <c r="D31" s="1"/>
      <c r="E31" s="1"/>
      <c r="F31" s="1"/>
      <c r="G31" s="1"/>
      <c r="H31" s="1"/>
      <c r="I31" s="1"/>
      <c r="J31" s="1"/>
      <c r="K31" s="1"/>
      <c r="L31" s="1"/>
      <c r="M31" s="1"/>
      <c r="N31" s="1"/>
      <c r="O31" s="1"/>
      <c r="P31" s="1"/>
      <c r="Q31" s="1"/>
      <c r="R31" s="1"/>
      <c r="S31" s="1"/>
      <c r="T31" s="1"/>
      <c r="U31" s="1"/>
      <c r="V31" s="1"/>
      <c r="W31" s="1"/>
    </row>
    <row r="32" spans="1:23">
      <c r="A32" s="223"/>
      <c r="B32" s="1"/>
      <c r="C32" s="1"/>
      <c r="D32" s="1"/>
      <c r="E32" s="1"/>
      <c r="F32" s="1"/>
      <c r="G32" s="1"/>
      <c r="H32" s="1"/>
      <c r="I32" s="1"/>
      <c r="J32" s="1"/>
      <c r="K32" s="1"/>
      <c r="L32" s="1"/>
      <c r="M32" s="1"/>
      <c r="N32" s="1"/>
      <c r="O32" s="1"/>
      <c r="P32" s="1"/>
      <c r="Q32" s="1"/>
      <c r="R32" s="1"/>
      <c r="S32" s="1"/>
      <c r="T32" s="1"/>
      <c r="U32" s="1"/>
      <c r="V32" s="1"/>
      <c r="W32" s="1"/>
    </row>
    <row r="33" spans="1:23">
      <c r="A33" s="223"/>
      <c r="B33" s="1"/>
      <c r="C33" s="1"/>
      <c r="D33" s="1"/>
      <c r="E33" s="1"/>
      <c r="F33" s="1"/>
      <c r="G33" s="1"/>
      <c r="H33" s="1"/>
      <c r="I33" s="1"/>
      <c r="J33" s="1"/>
      <c r="K33" s="1"/>
      <c r="L33" s="1"/>
      <c r="M33" s="1"/>
      <c r="N33" s="1"/>
      <c r="O33" s="1"/>
      <c r="P33" s="1"/>
      <c r="Q33" s="1"/>
      <c r="R33" s="1"/>
      <c r="S33" s="1"/>
      <c r="T33" s="1"/>
      <c r="U33" s="1"/>
      <c r="V33" s="1"/>
      <c r="W33" s="1"/>
    </row>
    <row r="34" spans="1:23">
      <c r="A34" s="223"/>
      <c r="B34" s="1"/>
      <c r="C34" s="1"/>
      <c r="D34" s="1"/>
      <c r="E34" s="1"/>
      <c r="F34" s="1"/>
      <c r="G34" s="1"/>
      <c r="H34" s="1"/>
      <c r="I34" s="1"/>
      <c r="J34" s="1"/>
      <c r="K34" s="1"/>
      <c r="L34" s="1"/>
      <c r="M34" s="1"/>
      <c r="N34" s="1"/>
      <c r="O34" s="1"/>
      <c r="P34" s="1"/>
      <c r="Q34" s="1"/>
      <c r="R34" s="1"/>
      <c r="S34" s="1"/>
      <c r="T34" s="1"/>
      <c r="U34" s="1"/>
      <c r="V34" s="1"/>
      <c r="W34" s="1"/>
    </row>
    <row r="35" spans="1:23">
      <c r="A35" s="223"/>
      <c r="B35" s="1"/>
      <c r="C35" s="1"/>
      <c r="D35" s="1"/>
      <c r="E35" s="1"/>
      <c r="F35" s="1"/>
      <c r="G35" s="1"/>
      <c r="H35" s="1"/>
      <c r="I35" s="1"/>
      <c r="J35" s="1"/>
      <c r="K35" s="1"/>
      <c r="L35" s="1"/>
      <c r="M35" s="1"/>
      <c r="N35" s="1"/>
      <c r="O35" s="1"/>
      <c r="P35" s="1"/>
      <c r="Q35" s="1"/>
      <c r="R35" s="1"/>
      <c r="S35" s="1"/>
      <c r="T35" s="1"/>
      <c r="U35" s="1"/>
      <c r="V35" s="1"/>
      <c r="W35" s="1"/>
    </row>
    <row r="36" spans="1:23">
      <c r="A36" s="223"/>
      <c r="B36" s="1"/>
      <c r="C36" s="1"/>
      <c r="D36" s="1"/>
      <c r="E36" s="1"/>
      <c r="F36" s="1"/>
      <c r="G36" s="1"/>
      <c r="H36" s="1"/>
      <c r="I36" s="1"/>
      <c r="J36" s="1"/>
      <c r="K36" s="1"/>
      <c r="L36" s="1"/>
      <c r="M36" s="1"/>
      <c r="N36" s="1"/>
      <c r="O36" s="1"/>
      <c r="P36" s="1"/>
      <c r="Q36" s="1"/>
      <c r="R36" s="1"/>
      <c r="S36" s="1"/>
      <c r="T36" s="1"/>
      <c r="U36" s="1"/>
      <c r="V36" s="1"/>
      <c r="W36" s="1"/>
    </row>
    <row r="37" spans="1:23">
      <c r="A37" s="223"/>
      <c r="B37" s="1"/>
      <c r="C37" s="1"/>
      <c r="D37" s="1"/>
      <c r="E37" s="1"/>
      <c r="F37" s="1"/>
      <c r="G37" s="1"/>
      <c r="H37" s="1"/>
      <c r="I37" s="1"/>
      <c r="J37" s="1"/>
      <c r="K37" s="1"/>
      <c r="L37" s="1"/>
      <c r="M37" s="1"/>
      <c r="N37" s="1"/>
      <c r="O37" s="1"/>
      <c r="P37" s="1"/>
      <c r="Q37" s="1"/>
      <c r="R37" s="1"/>
      <c r="S37" s="1"/>
      <c r="T37" s="1"/>
      <c r="U37" s="1"/>
      <c r="V37" s="1"/>
      <c r="W37" s="1"/>
    </row>
    <row r="38" spans="1:23">
      <c r="A38" s="223"/>
      <c r="B38" s="1"/>
      <c r="C38" s="1"/>
      <c r="D38" s="1"/>
      <c r="E38" s="1"/>
      <c r="F38" s="1"/>
      <c r="G38" s="1"/>
      <c r="H38" s="1"/>
      <c r="I38" s="1"/>
      <c r="J38" s="1"/>
      <c r="K38" s="1"/>
      <c r="L38" s="1"/>
      <c r="M38" s="1"/>
      <c r="N38" s="1"/>
      <c r="O38" s="1"/>
      <c r="P38" s="1"/>
      <c r="Q38" s="1"/>
      <c r="R38" s="1"/>
      <c r="S38" s="1"/>
      <c r="T38" s="1"/>
      <c r="U38" s="1"/>
      <c r="V38" s="1"/>
      <c r="W38" s="1"/>
    </row>
    <row r="39" spans="1:23">
      <c r="A39" s="223"/>
      <c r="B39" s="1"/>
      <c r="C39" s="1"/>
      <c r="D39" s="1"/>
      <c r="E39" s="1"/>
      <c r="F39" s="1"/>
      <c r="G39" s="1"/>
      <c r="H39" s="1"/>
      <c r="I39" s="1"/>
      <c r="J39" s="1"/>
      <c r="K39" s="1"/>
      <c r="L39" s="1"/>
      <c r="M39" s="1"/>
      <c r="N39" s="1"/>
      <c r="O39" s="1"/>
      <c r="P39" s="1"/>
      <c r="Q39" s="1"/>
      <c r="R39" s="1"/>
      <c r="S39" s="1"/>
      <c r="T39" s="1"/>
      <c r="U39" s="1"/>
      <c r="V39" s="1"/>
      <c r="W39" s="1"/>
    </row>
    <row r="40" spans="1:23">
      <c r="A40" s="223"/>
      <c r="B40" s="1"/>
      <c r="C40" s="1"/>
      <c r="D40" s="1"/>
      <c r="E40" s="1"/>
      <c r="F40" s="1"/>
      <c r="G40" s="1"/>
      <c r="H40" s="1"/>
      <c r="I40" s="1"/>
      <c r="J40" s="1"/>
      <c r="K40" s="1"/>
      <c r="L40" s="1"/>
      <c r="M40" s="1"/>
      <c r="N40" s="1"/>
      <c r="O40" s="1"/>
      <c r="P40" s="1"/>
      <c r="Q40" s="1"/>
      <c r="R40" s="1"/>
      <c r="S40" s="1"/>
      <c r="T40" s="1"/>
      <c r="U40" s="1"/>
      <c r="V40" s="1"/>
      <c r="W40" s="1"/>
    </row>
    <row r="41" spans="1:23">
      <c r="A41" s="223"/>
      <c r="B41" s="1"/>
      <c r="C41" s="1"/>
      <c r="D41" s="1"/>
      <c r="E41" s="1"/>
      <c r="F41" s="1"/>
      <c r="G41" s="1"/>
      <c r="H41" s="1"/>
      <c r="I41" s="1"/>
      <c r="J41" s="1"/>
      <c r="K41" s="1"/>
      <c r="L41" s="1"/>
      <c r="M41" s="1"/>
      <c r="N41" s="1"/>
      <c r="O41" s="1"/>
      <c r="P41" s="1"/>
      <c r="Q41" s="1"/>
      <c r="R41" s="1"/>
      <c r="S41" s="1"/>
      <c r="T41" s="1"/>
      <c r="U41" s="1"/>
      <c r="V41" s="1"/>
      <c r="W41" s="1"/>
    </row>
    <row r="42" spans="1:23">
      <c r="A42" s="223"/>
      <c r="B42" s="1"/>
      <c r="C42" s="1"/>
      <c r="D42" s="1"/>
      <c r="E42" s="1"/>
      <c r="F42" s="1"/>
      <c r="G42" s="1"/>
      <c r="H42" s="1"/>
      <c r="I42" s="1"/>
      <c r="J42" s="1"/>
      <c r="K42" s="1"/>
      <c r="L42" s="1"/>
      <c r="M42" s="1"/>
      <c r="N42" s="1"/>
      <c r="O42" s="1"/>
      <c r="P42" s="1"/>
      <c r="Q42" s="1"/>
      <c r="R42" s="1"/>
      <c r="S42" s="1"/>
      <c r="T42" s="1"/>
      <c r="U42" s="1"/>
      <c r="V42" s="1"/>
      <c r="W42" s="1"/>
    </row>
    <row r="43" spans="1:23">
      <c r="A43" s="223"/>
      <c r="B43" s="1"/>
      <c r="C43" s="1"/>
      <c r="D43" s="1"/>
      <c r="E43" s="1"/>
      <c r="F43" s="1"/>
      <c r="G43" s="1"/>
      <c r="H43" s="1"/>
      <c r="I43" s="1"/>
      <c r="J43" s="1"/>
      <c r="K43" s="1"/>
      <c r="L43" s="1"/>
      <c r="M43" s="1"/>
      <c r="N43" s="1"/>
      <c r="O43" s="1"/>
      <c r="P43" s="1"/>
      <c r="Q43" s="1"/>
      <c r="R43" s="1"/>
      <c r="S43" s="1"/>
      <c r="T43" s="1"/>
      <c r="U43" s="1"/>
      <c r="V43" s="1"/>
      <c r="W43" s="1"/>
    </row>
    <row r="44" spans="1:23">
      <c r="A44" s="223"/>
      <c r="B44" s="1"/>
      <c r="C44" s="1"/>
      <c r="D44" s="1"/>
      <c r="E44" s="1"/>
      <c r="F44" s="1"/>
      <c r="G44" s="1"/>
      <c r="H44" s="1"/>
      <c r="I44" s="1"/>
      <c r="J44" s="1"/>
      <c r="K44" s="1"/>
      <c r="L44" s="1"/>
      <c r="M44" s="1"/>
      <c r="N44" s="1"/>
      <c r="O44" s="1"/>
      <c r="P44" s="1"/>
      <c r="Q44" s="1"/>
      <c r="R44" s="1"/>
      <c r="S44" s="1"/>
      <c r="T44" s="1"/>
      <c r="U44" s="1"/>
      <c r="V44" s="1"/>
      <c r="W44" s="1"/>
    </row>
    <row r="45" spans="1:23">
      <c r="A45" s="223"/>
      <c r="B45" s="1"/>
      <c r="C45" s="1"/>
      <c r="D45" s="1"/>
      <c r="E45" s="1"/>
      <c r="F45" s="1"/>
      <c r="G45" s="1"/>
      <c r="H45" s="1"/>
      <c r="I45" s="1"/>
      <c r="J45" s="1"/>
      <c r="K45" s="1"/>
      <c r="L45" s="1"/>
      <c r="M45" s="1"/>
      <c r="N45" s="1"/>
      <c r="O45" s="1"/>
      <c r="P45" s="1"/>
      <c r="Q45" s="1"/>
      <c r="R45" s="1"/>
      <c r="S45" s="1"/>
      <c r="T45" s="1"/>
      <c r="U45" s="1"/>
      <c r="V45" s="1"/>
      <c r="W45" s="1"/>
    </row>
    <row r="46" spans="1:23">
      <c r="A46" s="223"/>
      <c r="B46" s="1"/>
      <c r="C46" s="1"/>
      <c r="D46" s="1"/>
      <c r="E46" s="1"/>
      <c r="F46" s="1"/>
      <c r="G46" s="1"/>
      <c r="H46" s="1"/>
      <c r="I46" s="1"/>
      <c r="J46" s="1"/>
      <c r="K46" s="1"/>
      <c r="L46" s="1"/>
      <c r="M46" s="1"/>
      <c r="N46" s="1"/>
      <c r="O46" s="1"/>
      <c r="P46" s="1"/>
      <c r="Q46" s="1"/>
      <c r="R46" s="1"/>
      <c r="S46" s="1"/>
      <c r="T46" s="1"/>
      <c r="U46" s="1"/>
      <c r="V46" s="1"/>
      <c r="W46" s="1"/>
    </row>
    <row r="47" spans="1:23">
      <c r="A47" s="223"/>
      <c r="B47" s="1"/>
      <c r="C47" s="1"/>
      <c r="D47" s="1"/>
      <c r="E47" s="1"/>
      <c r="F47" s="1"/>
      <c r="G47" s="1"/>
      <c r="H47" s="1"/>
      <c r="I47" s="1"/>
      <c r="J47" s="1"/>
      <c r="K47" s="1"/>
      <c r="L47" s="1"/>
      <c r="M47" s="1"/>
      <c r="N47" s="1"/>
      <c r="O47" s="1"/>
      <c r="P47" s="1"/>
      <c r="Q47" s="1"/>
      <c r="R47" s="1"/>
      <c r="S47" s="1"/>
      <c r="T47" s="1"/>
      <c r="U47" s="1"/>
      <c r="V47" s="1"/>
      <c r="W47" s="1"/>
    </row>
    <row r="48" spans="1:23">
      <c r="A48" s="223"/>
      <c r="B48" s="1"/>
      <c r="C48" s="1"/>
      <c r="D48" s="1"/>
      <c r="E48" s="1"/>
      <c r="F48" s="1"/>
      <c r="G48" s="1"/>
      <c r="H48" s="1"/>
      <c r="I48" s="1"/>
      <c r="J48" s="1"/>
      <c r="K48" s="1"/>
      <c r="L48" s="1"/>
      <c r="M48" s="1"/>
      <c r="N48" s="1"/>
      <c r="O48" s="1"/>
      <c r="P48" s="1"/>
      <c r="Q48" s="1"/>
      <c r="R48" s="1"/>
      <c r="S48" s="1"/>
      <c r="T48" s="1"/>
      <c r="U48" s="1"/>
      <c r="V48" s="1"/>
      <c r="W48" s="1"/>
    </row>
    <row r="49" spans="1:23">
      <c r="A49" s="223"/>
      <c r="B49" s="1"/>
      <c r="C49" s="1"/>
      <c r="D49" s="1"/>
      <c r="E49" s="1"/>
      <c r="F49" s="1"/>
      <c r="G49" s="1"/>
      <c r="H49" s="1"/>
      <c r="I49" s="1"/>
      <c r="J49" s="1"/>
      <c r="K49" s="1"/>
      <c r="L49" s="1"/>
      <c r="M49" s="1"/>
      <c r="N49" s="1"/>
      <c r="O49" s="1"/>
      <c r="P49" s="1"/>
      <c r="Q49" s="1"/>
      <c r="R49" s="1"/>
      <c r="S49" s="1"/>
      <c r="T49" s="1"/>
      <c r="U49" s="1"/>
      <c r="V49" s="1"/>
      <c r="W49" s="1"/>
    </row>
    <row r="50" spans="1:23">
      <c r="A50" s="223"/>
      <c r="B50" s="1"/>
      <c r="C50" s="1"/>
      <c r="D50" s="1"/>
      <c r="E50" s="1"/>
      <c r="F50" s="1"/>
      <c r="G50" s="1"/>
      <c r="H50" s="1"/>
      <c r="I50" s="1"/>
      <c r="J50" s="1"/>
      <c r="K50" s="1"/>
      <c r="L50" s="1"/>
      <c r="M50" s="1"/>
      <c r="N50" s="1"/>
      <c r="O50" s="1"/>
      <c r="P50" s="1"/>
      <c r="Q50" s="1"/>
      <c r="R50" s="1"/>
      <c r="S50" s="1"/>
      <c r="T50" s="1"/>
      <c r="U50" s="1"/>
      <c r="V50" s="1"/>
      <c r="W50" s="1"/>
    </row>
    <row r="51" spans="1:23">
      <c r="A51" s="223"/>
      <c r="B51" s="1"/>
      <c r="C51" s="1"/>
      <c r="D51" s="1"/>
      <c r="E51" s="1"/>
      <c r="F51" s="1"/>
      <c r="G51" s="1"/>
      <c r="H51" s="1"/>
      <c r="I51" s="1"/>
      <c r="J51" s="1"/>
      <c r="K51" s="1"/>
      <c r="L51" s="1"/>
      <c r="M51" s="1"/>
      <c r="N51" s="1"/>
      <c r="O51" s="1"/>
      <c r="P51" s="1"/>
      <c r="Q51" s="1"/>
      <c r="R51" s="1"/>
      <c r="S51" s="1"/>
      <c r="T51" s="1"/>
      <c r="U51" s="1"/>
      <c r="V51" s="1"/>
      <c r="W51" s="1"/>
    </row>
    <row r="52" spans="1:23">
      <c r="A52" s="223"/>
      <c r="B52" s="1"/>
      <c r="C52" s="1"/>
      <c r="D52" s="1"/>
      <c r="E52" s="1"/>
      <c r="F52" s="1"/>
      <c r="G52" s="1"/>
      <c r="H52" s="1"/>
      <c r="I52" s="1"/>
      <c r="J52" s="1"/>
      <c r="K52" s="1"/>
      <c r="L52" s="1"/>
      <c r="M52" s="1"/>
      <c r="N52" s="1"/>
      <c r="O52" s="1"/>
      <c r="P52" s="1"/>
      <c r="Q52" s="1"/>
      <c r="R52" s="1"/>
      <c r="S52" s="1"/>
      <c r="T52" s="1"/>
      <c r="U52" s="1"/>
      <c r="V52" s="1"/>
      <c r="W52" s="1"/>
    </row>
    <row r="53" spans="1:23">
      <c r="A53" s="223"/>
      <c r="B53" s="1"/>
      <c r="C53" s="1"/>
      <c r="D53" s="1"/>
      <c r="E53" s="1"/>
      <c r="F53" s="1"/>
      <c r="G53" s="1"/>
      <c r="H53" s="1"/>
      <c r="I53" s="1"/>
      <c r="J53" s="1"/>
      <c r="K53" s="1"/>
      <c r="L53" s="1"/>
      <c r="M53" s="1"/>
      <c r="N53" s="1"/>
      <c r="O53" s="1"/>
      <c r="P53" s="1"/>
      <c r="Q53" s="1"/>
      <c r="R53" s="1"/>
      <c r="S53" s="1"/>
      <c r="T53" s="1"/>
      <c r="U53" s="1"/>
      <c r="V53" s="1"/>
      <c r="W53" s="1"/>
    </row>
    <row r="54" spans="1:23">
      <c r="A54" s="223"/>
      <c r="B54" s="1"/>
      <c r="C54" s="1"/>
      <c r="D54" s="1"/>
      <c r="E54" s="1"/>
      <c r="F54" s="1"/>
      <c r="G54" s="1"/>
      <c r="H54" s="1"/>
      <c r="I54" s="1"/>
      <c r="J54" s="1"/>
      <c r="K54" s="1"/>
      <c r="L54" s="1"/>
      <c r="M54" s="1"/>
      <c r="N54" s="1"/>
      <c r="O54" s="1"/>
      <c r="P54" s="1"/>
      <c r="Q54" s="1"/>
      <c r="R54" s="1"/>
      <c r="S54" s="1"/>
      <c r="T54" s="1"/>
      <c r="U54" s="1"/>
      <c r="V54" s="1"/>
      <c r="W54" s="1"/>
    </row>
    <row r="55" spans="1:23">
      <c r="A55" s="223"/>
      <c r="B55" s="1"/>
      <c r="C55" s="1"/>
      <c r="D55" s="1"/>
      <c r="E55" s="1"/>
      <c r="F55" s="1"/>
      <c r="G55" s="1"/>
      <c r="H55" s="1"/>
      <c r="I55" s="1"/>
      <c r="J55" s="1"/>
      <c r="K55" s="1"/>
      <c r="L55" s="1"/>
      <c r="M55" s="1"/>
      <c r="N55" s="1"/>
      <c r="O55" s="1"/>
      <c r="P55" s="1"/>
      <c r="Q55" s="1"/>
      <c r="R55" s="1"/>
      <c r="S55" s="1"/>
      <c r="T55" s="1"/>
      <c r="U55" s="1"/>
      <c r="V55" s="1"/>
      <c r="W55" s="1"/>
    </row>
    <row r="56" spans="1:23">
      <c r="A56" s="223"/>
      <c r="B56" s="1"/>
      <c r="C56" s="1"/>
      <c r="D56" s="1"/>
      <c r="E56" s="1"/>
      <c r="F56" s="1"/>
      <c r="G56" s="1"/>
      <c r="H56" s="1"/>
      <c r="I56" s="1"/>
      <c r="J56" s="1"/>
      <c r="K56" s="1"/>
      <c r="L56" s="1"/>
      <c r="M56" s="1"/>
      <c r="N56" s="1"/>
      <c r="O56" s="1"/>
      <c r="P56" s="1"/>
      <c r="Q56" s="1"/>
      <c r="R56" s="1"/>
      <c r="S56" s="1"/>
      <c r="T56" s="1"/>
      <c r="U56" s="1"/>
      <c r="V56" s="1"/>
      <c r="W56" s="1"/>
    </row>
    <row r="57" spans="1:23">
      <c r="A57" s="223"/>
      <c r="B57" s="1"/>
      <c r="C57" s="1"/>
      <c r="D57" s="1"/>
      <c r="E57" s="1"/>
      <c r="F57" s="1"/>
      <c r="G57" s="1"/>
      <c r="H57" s="1"/>
      <c r="I57" s="1"/>
      <c r="J57" s="1"/>
      <c r="K57" s="1"/>
      <c r="L57" s="1"/>
      <c r="M57" s="1"/>
      <c r="N57" s="1"/>
      <c r="O57" s="1"/>
      <c r="P57" s="1"/>
      <c r="Q57" s="1"/>
      <c r="R57" s="1"/>
      <c r="S57" s="1"/>
      <c r="T57" s="1"/>
      <c r="U57" s="1"/>
      <c r="V57" s="1"/>
      <c r="W57" s="1"/>
    </row>
    <row r="58" spans="1:23">
      <c r="A58" s="223"/>
      <c r="B58" s="1"/>
      <c r="C58" s="1"/>
      <c r="D58" s="1"/>
      <c r="E58" s="1"/>
      <c r="F58" s="1"/>
      <c r="G58" s="1"/>
      <c r="H58" s="1"/>
      <c r="I58" s="1"/>
      <c r="J58" s="1"/>
      <c r="K58" s="1"/>
      <c r="L58" s="1"/>
      <c r="M58" s="1"/>
      <c r="N58" s="1"/>
      <c r="O58" s="1"/>
      <c r="P58" s="1"/>
      <c r="Q58" s="1"/>
      <c r="R58" s="1"/>
      <c r="S58" s="1"/>
      <c r="T58" s="1"/>
      <c r="U58" s="1"/>
      <c r="V58" s="1"/>
      <c r="W58" s="1"/>
    </row>
    <row r="59" spans="1:23">
      <c r="A59" s="223"/>
      <c r="B59" s="1"/>
      <c r="C59" s="1"/>
      <c r="D59" s="1"/>
      <c r="E59" s="1"/>
      <c r="F59" s="1"/>
      <c r="G59" s="1"/>
      <c r="H59" s="1"/>
      <c r="I59" s="1"/>
      <c r="J59" s="1"/>
      <c r="K59" s="1"/>
      <c r="L59" s="1"/>
      <c r="M59" s="1"/>
      <c r="N59" s="1"/>
      <c r="O59" s="1"/>
      <c r="P59" s="1"/>
      <c r="Q59" s="1"/>
      <c r="R59" s="1"/>
      <c r="S59" s="1"/>
      <c r="T59" s="1"/>
      <c r="U59" s="1"/>
      <c r="V59" s="1"/>
      <c r="W59" s="1"/>
    </row>
    <row r="60" spans="1:23">
      <c r="A60" s="223"/>
      <c r="B60" s="1"/>
      <c r="C60" s="1"/>
      <c r="D60" s="1"/>
      <c r="E60" s="1"/>
      <c r="F60" s="1"/>
      <c r="G60" s="1"/>
      <c r="H60" s="1"/>
      <c r="I60" s="1"/>
      <c r="J60" s="1"/>
      <c r="K60" s="1"/>
      <c r="L60" s="1"/>
      <c r="M60" s="1"/>
      <c r="N60" s="1"/>
      <c r="O60" s="1"/>
      <c r="P60" s="1"/>
      <c r="Q60" s="1"/>
      <c r="R60" s="1"/>
      <c r="S60" s="1"/>
      <c r="T60" s="1"/>
      <c r="U60" s="1"/>
      <c r="V60" s="1"/>
      <c r="W60" s="1"/>
    </row>
    <row r="61" spans="1:23">
      <c r="A61" s="223"/>
      <c r="B61" s="1"/>
      <c r="C61" s="1"/>
      <c r="D61" s="1"/>
      <c r="E61" s="1"/>
      <c r="F61" s="1"/>
      <c r="G61" s="1"/>
      <c r="H61" s="1"/>
      <c r="I61" s="1"/>
      <c r="J61" s="1"/>
      <c r="K61" s="1"/>
      <c r="L61" s="1"/>
      <c r="M61" s="1"/>
      <c r="N61" s="1"/>
      <c r="O61" s="1"/>
      <c r="P61" s="1"/>
      <c r="Q61" s="1"/>
      <c r="R61" s="1"/>
      <c r="S61" s="1"/>
      <c r="T61" s="1"/>
      <c r="U61" s="1"/>
      <c r="V61" s="1"/>
      <c r="W61" s="1"/>
    </row>
    <row r="62" spans="1:23">
      <c r="A62" s="223"/>
      <c r="B62" s="1"/>
      <c r="C62" s="1"/>
      <c r="D62" s="1"/>
      <c r="E62" s="1"/>
      <c r="F62" s="1"/>
      <c r="G62" s="1"/>
      <c r="H62" s="1"/>
      <c r="I62" s="1"/>
      <c r="J62" s="1"/>
      <c r="K62" s="1"/>
      <c r="L62" s="1"/>
      <c r="M62" s="1"/>
      <c r="N62" s="1"/>
      <c r="O62" s="1"/>
      <c r="P62" s="1"/>
      <c r="Q62" s="1"/>
      <c r="R62" s="1"/>
      <c r="S62" s="1"/>
      <c r="T62" s="1"/>
      <c r="U62" s="1"/>
      <c r="V62" s="1"/>
      <c r="W62" s="1"/>
    </row>
    <row r="63" spans="1:23">
      <c r="A63" s="223"/>
      <c r="B63" s="1"/>
      <c r="C63" s="1"/>
      <c r="D63" s="1"/>
      <c r="E63" s="1"/>
      <c r="F63" s="1"/>
      <c r="G63" s="1"/>
      <c r="H63" s="1"/>
      <c r="I63" s="1"/>
      <c r="J63" s="1"/>
      <c r="K63" s="1"/>
      <c r="L63" s="1"/>
      <c r="M63" s="1"/>
      <c r="N63" s="1"/>
      <c r="O63" s="1"/>
      <c r="P63" s="1"/>
      <c r="Q63" s="1"/>
      <c r="R63" s="1"/>
      <c r="S63" s="1"/>
      <c r="T63" s="1"/>
      <c r="U63" s="1"/>
      <c r="V63" s="1"/>
      <c r="W63" s="1"/>
    </row>
    <row r="64" spans="1:23">
      <c r="A64" s="223"/>
      <c r="B64" s="1"/>
      <c r="C64" s="1"/>
      <c r="D64" s="1"/>
      <c r="E64" s="1"/>
      <c r="F64" s="1"/>
      <c r="G64" s="1"/>
      <c r="H64" s="1"/>
      <c r="I64" s="1"/>
      <c r="J64" s="1"/>
      <c r="K64" s="1"/>
      <c r="L64" s="1"/>
      <c r="M64" s="1"/>
      <c r="N64" s="1"/>
      <c r="O64" s="1"/>
      <c r="P64" s="1"/>
      <c r="Q64" s="1"/>
      <c r="R64" s="1"/>
      <c r="S64" s="1"/>
      <c r="T64" s="1"/>
      <c r="U64" s="1"/>
      <c r="V64" s="1"/>
      <c r="W64" s="1"/>
    </row>
    <row r="65" spans="1:23">
      <c r="A65" s="223"/>
      <c r="B65" s="1"/>
      <c r="C65" s="1"/>
      <c r="D65" s="1"/>
      <c r="E65" s="1"/>
      <c r="F65" s="1"/>
      <c r="G65" s="1"/>
      <c r="H65" s="1"/>
      <c r="I65" s="1"/>
      <c r="J65" s="1"/>
      <c r="K65" s="1"/>
      <c r="L65" s="1"/>
      <c r="M65" s="1"/>
      <c r="N65" s="1"/>
      <c r="O65" s="1"/>
      <c r="P65" s="1"/>
      <c r="Q65" s="1"/>
      <c r="R65" s="1"/>
      <c r="S65" s="1"/>
      <c r="T65" s="1"/>
      <c r="U65" s="1"/>
      <c r="V65" s="1"/>
      <c r="W65" s="1"/>
    </row>
    <row r="66" spans="1:23">
      <c r="A66" s="223"/>
      <c r="B66" s="1"/>
      <c r="C66" s="1"/>
      <c r="D66" s="1"/>
      <c r="E66" s="1"/>
      <c r="F66" s="1"/>
      <c r="G66" s="1"/>
      <c r="H66" s="1"/>
      <c r="I66" s="1"/>
      <c r="J66" s="1"/>
      <c r="K66" s="1"/>
      <c r="L66" s="1"/>
      <c r="M66" s="1"/>
      <c r="N66" s="1"/>
      <c r="O66" s="1"/>
      <c r="P66" s="1"/>
      <c r="Q66" s="1"/>
      <c r="R66" s="1"/>
      <c r="S66" s="1"/>
      <c r="T66" s="1"/>
      <c r="U66" s="1"/>
      <c r="V66" s="1"/>
      <c r="W66" s="1"/>
    </row>
    <row r="67" spans="1:23">
      <c r="A67" s="223"/>
      <c r="B67" s="1"/>
      <c r="C67" s="1"/>
      <c r="D67" s="1"/>
      <c r="E67" s="1"/>
      <c r="F67" s="1"/>
      <c r="G67" s="1"/>
      <c r="H67" s="1"/>
      <c r="I67" s="1"/>
      <c r="J67" s="1"/>
      <c r="K67" s="1"/>
      <c r="L67" s="1"/>
      <c r="M67" s="1"/>
      <c r="N67" s="1"/>
      <c r="O67" s="1"/>
      <c r="P67" s="1"/>
      <c r="Q67" s="1"/>
      <c r="R67" s="1"/>
      <c r="S67" s="1"/>
      <c r="T67" s="1"/>
      <c r="U67" s="1"/>
      <c r="V67" s="1"/>
      <c r="W67" s="1"/>
    </row>
    <row r="68" spans="1:23">
      <c r="A68" s="223"/>
      <c r="B68" s="1"/>
      <c r="C68" s="1"/>
      <c r="D68" s="1"/>
      <c r="E68" s="1"/>
      <c r="F68" s="1"/>
      <c r="G68" s="1"/>
      <c r="H68" s="1"/>
      <c r="I68" s="1"/>
      <c r="J68" s="1"/>
      <c r="K68" s="1"/>
      <c r="L68" s="1"/>
      <c r="M68" s="1"/>
      <c r="N68" s="1"/>
      <c r="O68" s="1"/>
      <c r="P68" s="1"/>
      <c r="Q68" s="1"/>
      <c r="R68" s="1"/>
      <c r="S68" s="1"/>
      <c r="T68" s="1"/>
      <c r="U68" s="1"/>
      <c r="V68" s="1"/>
      <c r="W68" s="1"/>
    </row>
    <row r="69" spans="1:23">
      <c r="A69" s="223"/>
      <c r="B69" s="1"/>
      <c r="C69" s="1"/>
      <c r="D69" s="1"/>
      <c r="E69" s="1"/>
      <c r="F69" s="1"/>
      <c r="G69" s="1"/>
      <c r="H69" s="1"/>
      <c r="I69" s="1"/>
      <c r="J69" s="1"/>
      <c r="K69" s="1"/>
      <c r="L69" s="1"/>
      <c r="M69" s="1"/>
      <c r="N69" s="1"/>
      <c r="O69" s="1"/>
      <c r="P69" s="1"/>
      <c r="Q69" s="1"/>
      <c r="R69" s="1"/>
      <c r="S69" s="1"/>
      <c r="T69" s="1"/>
      <c r="U69" s="1"/>
      <c r="V69" s="1"/>
      <c r="W69" s="1"/>
    </row>
    <row r="70" spans="1:23">
      <c r="A70" s="223"/>
      <c r="B70" s="1"/>
      <c r="C70" s="1"/>
      <c r="D70" s="1"/>
      <c r="E70" s="1"/>
      <c r="F70" s="1"/>
      <c r="G70" s="1"/>
      <c r="H70" s="1"/>
      <c r="I70" s="1"/>
      <c r="J70" s="1"/>
      <c r="K70" s="1"/>
      <c r="L70" s="1"/>
      <c r="M70" s="1"/>
      <c r="N70" s="1"/>
      <c r="O70" s="1"/>
      <c r="P70" s="1"/>
      <c r="Q70" s="1"/>
      <c r="R70" s="1"/>
      <c r="S70" s="1"/>
      <c r="T70" s="1"/>
      <c r="U70" s="1"/>
      <c r="V70" s="1"/>
      <c r="W70" s="1"/>
    </row>
    <row r="71" spans="1:23">
      <c r="A71" s="223"/>
      <c r="B71" s="1"/>
      <c r="C71" s="1"/>
      <c r="D71" s="1"/>
      <c r="E71" s="1"/>
      <c r="F71" s="1"/>
      <c r="G71" s="1"/>
      <c r="H71" s="1"/>
      <c r="I71" s="1"/>
      <c r="J71" s="1"/>
      <c r="K71" s="1"/>
      <c r="L71" s="1"/>
      <c r="M71" s="1"/>
      <c r="N71" s="1"/>
      <c r="O71" s="1"/>
      <c r="P71" s="1"/>
      <c r="Q71" s="1"/>
      <c r="R71" s="1"/>
      <c r="S71" s="1"/>
      <c r="T71" s="1"/>
      <c r="U71" s="1"/>
      <c r="V71" s="1"/>
      <c r="W71" s="1"/>
    </row>
    <row r="72" spans="1:23">
      <c r="A72" s="223"/>
      <c r="B72" s="1"/>
      <c r="C72" s="1"/>
      <c r="D72" s="1"/>
      <c r="E72" s="1"/>
      <c r="F72" s="1"/>
      <c r="G72" s="1"/>
      <c r="H72" s="1"/>
      <c r="I72" s="1"/>
      <c r="J72" s="1"/>
      <c r="K72" s="1"/>
      <c r="L72" s="1"/>
      <c r="M72" s="1"/>
      <c r="N72" s="1"/>
      <c r="O72" s="1"/>
      <c r="P72" s="1"/>
      <c r="Q72" s="1"/>
      <c r="R72" s="1"/>
      <c r="S72" s="1"/>
      <c r="T72" s="1"/>
      <c r="U72" s="1"/>
      <c r="V72" s="1"/>
      <c r="W72" s="1"/>
    </row>
    <row r="73" spans="1:23">
      <c r="A73" s="223"/>
      <c r="B73" s="1"/>
      <c r="C73" s="1"/>
      <c r="D73" s="1"/>
      <c r="E73" s="1"/>
      <c r="F73" s="1"/>
      <c r="G73" s="1"/>
      <c r="H73" s="1"/>
      <c r="I73" s="1"/>
      <c r="J73" s="1"/>
      <c r="K73" s="1"/>
      <c r="L73" s="1"/>
      <c r="M73" s="1"/>
      <c r="N73" s="1"/>
      <c r="O73" s="1"/>
      <c r="P73" s="1"/>
      <c r="Q73" s="1"/>
      <c r="R73" s="1"/>
      <c r="S73" s="1"/>
      <c r="T73" s="1"/>
      <c r="U73" s="1"/>
      <c r="V73" s="1"/>
      <c r="W73" s="1"/>
    </row>
    <row r="74" spans="1:23">
      <c r="A74" s="223"/>
      <c r="B74" s="1"/>
      <c r="C74" s="1"/>
      <c r="D74" s="1"/>
      <c r="E74" s="1"/>
      <c r="F74" s="1"/>
      <c r="G74" s="1"/>
      <c r="H74" s="1"/>
      <c r="I74" s="1"/>
      <c r="J74" s="1"/>
      <c r="K74" s="1"/>
      <c r="L74" s="1"/>
      <c r="M74" s="1"/>
      <c r="N74" s="1"/>
      <c r="O74" s="1"/>
      <c r="P74" s="1"/>
      <c r="Q74" s="1"/>
      <c r="R74" s="1"/>
      <c r="S74" s="1"/>
      <c r="T74" s="1"/>
      <c r="U74" s="1"/>
      <c r="V74" s="1"/>
      <c r="W74" s="1"/>
    </row>
    <row r="75" spans="1:23">
      <c r="A75" s="223"/>
      <c r="B75" s="1"/>
      <c r="C75" s="1"/>
      <c r="D75" s="1"/>
      <c r="E75" s="1"/>
      <c r="F75" s="1"/>
      <c r="G75" s="1"/>
      <c r="H75" s="1"/>
      <c r="I75" s="1"/>
      <c r="J75" s="1"/>
      <c r="K75" s="1"/>
      <c r="L75" s="1"/>
      <c r="M75" s="1"/>
      <c r="N75" s="1"/>
      <c r="O75" s="1"/>
      <c r="P75" s="1"/>
      <c r="Q75" s="1"/>
      <c r="R75" s="1"/>
      <c r="S75" s="1"/>
      <c r="T75" s="1"/>
      <c r="U75" s="1"/>
      <c r="V75" s="1"/>
      <c r="W75" s="1"/>
    </row>
    <row r="76" spans="1:23">
      <c r="A76" s="223"/>
      <c r="B76" s="1"/>
      <c r="C76" s="1"/>
      <c r="D76" s="1"/>
      <c r="E76" s="1"/>
      <c r="F76" s="1"/>
      <c r="G76" s="1"/>
      <c r="H76" s="1"/>
      <c r="I76" s="1"/>
      <c r="J76" s="1"/>
      <c r="K76" s="1"/>
      <c r="L76" s="1"/>
      <c r="M76" s="1"/>
      <c r="N76" s="1"/>
      <c r="O76" s="1"/>
      <c r="P76" s="1"/>
      <c r="Q76" s="1"/>
      <c r="R76" s="1"/>
      <c r="S76" s="1"/>
      <c r="T76" s="1"/>
      <c r="U76" s="1"/>
      <c r="V76" s="1"/>
      <c r="W76" s="1"/>
    </row>
    <row r="77" spans="1:23">
      <c r="A77" s="223"/>
      <c r="B77" s="1"/>
      <c r="C77" s="1"/>
      <c r="D77" s="1"/>
      <c r="E77" s="1"/>
      <c r="F77" s="1"/>
      <c r="G77" s="1"/>
      <c r="H77" s="1"/>
      <c r="I77" s="1"/>
      <c r="J77" s="1"/>
      <c r="K77" s="1"/>
      <c r="L77" s="1"/>
      <c r="M77" s="1"/>
      <c r="N77" s="1"/>
      <c r="O77" s="1"/>
      <c r="P77" s="1"/>
      <c r="Q77" s="1"/>
      <c r="R77" s="1"/>
      <c r="S77" s="1"/>
      <c r="T77" s="1"/>
      <c r="U77" s="1"/>
      <c r="V77" s="1"/>
      <c r="W77" s="1"/>
    </row>
    <row r="78" spans="1:23">
      <c r="A78" s="223"/>
      <c r="B78" s="1"/>
      <c r="C78" s="1"/>
      <c r="D78" s="1"/>
      <c r="E78" s="1"/>
      <c r="F78" s="1"/>
      <c r="G78" s="1"/>
      <c r="H78" s="1"/>
      <c r="I78" s="1"/>
      <c r="J78" s="1"/>
      <c r="K78" s="1"/>
      <c r="L78" s="1"/>
      <c r="M78" s="1"/>
      <c r="N78" s="1"/>
      <c r="O78" s="1"/>
      <c r="P78" s="1"/>
      <c r="Q78" s="1"/>
      <c r="R78" s="1"/>
      <c r="S78" s="1"/>
      <c r="T78" s="1"/>
      <c r="U78" s="1"/>
      <c r="V78" s="1"/>
      <c r="W78" s="1"/>
    </row>
    <row r="79" spans="1:23">
      <c r="A79" s="223"/>
      <c r="B79" s="1"/>
      <c r="C79" s="1"/>
      <c r="D79" s="1"/>
      <c r="E79" s="1"/>
      <c r="F79" s="1"/>
      <c r="G79" s="1"/>
      <c r="H79" s="1"/>
      <c r="I79" s="1"/>
      <c r="J79" s="1"/>
      <c r="K79" s="1"/>
      <c r="L79" s="1"/>
      <c r="M79" s="1"/>
      <c r="N79" s="1"/>
      <c r="O79" s="1"/>
      <c r="P79" s="1"/>
      <c r="Q79" s="1"/>
      <c r="R79" s="1"/>
      <c r="S79" s="1"/>
      <c r="T79" s="1"/>
      <c r="U79" s="1"/>
      <c r="V79" s="1"/>
      <c r="W79" s="1"/>
    </row>
    <row r="80" spans="1:23">
      <c r="A80" s="223"/>
      <c r="B80" s="1"/>
      <c r="C80" s="1"/>
      <c r="D80" s="1"/>
      <c r="E80" s="1"/>
      <c r="F80" s="1"/>
      <c r="G80" s="1"/>
      <c r="H80" s="1"/>
      <c r="I80" s="1"/>
      <c r="J80" s="1"/>
      <c r="K80" s="1"/>
      <c r="L80" s="1"/>
      <c r="M80" s="1"/>
      <c r="N80" s="1"/>
      <c r="O80" s="1"/>
      <c r="P80" s="1"/>
      <c r="Q80" s="1"/>
      <c r="R80" s="1"/>
      <c r="S80" s="1"/>
      <c r="T80" s="1"/>
      <c r="U80" s="1"/>
      <c r="V80" s="1"/>
      <c r="W80" s="1"/>
    </row>
    <row r="81" spans="1:23">
      <c r="A81" s="223"/>
      <c r="B81" s="1"/>
      <c r="C81" s="1"/>
      <c r="D81" s="1"/>
      <c r="E81" s="1"/>
      <c r="F81" s="1"/>
      <c r="G81" s="1"/>
      <c r="H81" s="1"/>
      <c r="I81" s="1"/>
      <c r="J81" s="1"/>
      <c r="K81" s="1"/>
      <c r="L81" s="1"/>
      <c r="M81" s="1"/>
      <c r="N81" s="1"/>
      <c r="O81" s="1"/>
      <c r="P81" s="1"/>
      <c r="Q81" s="1"/>
      <c r="R81" s="1"/>
      <c r="S81" s="1"/>
      <c r="T81" s="1"/>
      <c r="U81" s="1"/>
      <c r="V81" s="1"/>
      <c r="W81" s="1"/>
    </row>
    <row r="82" spans="1:23">
      <c r="A82" s="223"/>
      <c r="B82" s="1"/>
      <c r="C82" s="1"/>
      <c r="D82" s="1"/>
      <c r="E82" s="1"/>
      <c r="F82" s="1"/>
      <c r="G82" s="1"/>
      <c r="H82" s="1"/>
      <c r="I82" s="1"/>
      <c r="J82" s="1"/>
      <c r="K82" s="1"/>
      <c r="L82" s="1"/>
      <c r="M82" s="1"/>
      <c r="N82" s="1"/>
      <c r="O82" s="1"/>
      <c r="P82" s="1"/>
      <c r="Q82" s="1"/>
      <c r="R82" s="1"/>
      <c r="S82" s="1"/>
      <c r="T82" s="1"/>
      <c r="U82" s="1"/>
      <c r="V82" s="1"/>
      <c r="W82" s="1"/>
    </row>
    <row r="83" spans="1:23">
      <c r="A83" s="223"/>
      <c r="B83" s="1"/>
      <c r="C83" s="1"/>
      <c r="D83" s="1"/>
      <c r="E83" s="1"/>
      <c r="F83" s="1"/>
      <c r="G83" s="1"/>
      <c r="H83" s="1"/>
      <c r="I83" s="1"/>
      <c r="J83" s="1"/>
      <c r="K83" s="1"/>
      <c r="L83" s="1"/>
      <c r="M83" s="1"/>
      <c r="N83" s="1"/>
      <c r="O83" s="1"/>
      <c r="P83" s="1"/>
      <c r="Q83" s="1"/>
      <c r="R83" s="1"/>
      <c r="S83" s="1"/>
      <c r="T83" s="1"/>
      <c r="U83" s="1"/>
      <c r="V83" s="1"/>
      <c r="W83" s="1"/>
    </row>
    <row r="84" spans="1:23">
      <c r="A84" s="223"/>
      <c r="B84" s="1"/>
      <c r="C84" s="1"/>
      <c r="D84" s="1"/>
      <c r="E84" s="1"/>
      <c r="F84" s="1"/>
      <c r="G84" s="1"/>
      <c r="H84" s="1"/>
      <c r="I84" s="1"/>
      <c r="J84" s="1"/>
      <c r="K84" s="1"/>
      <c r="L84" s="1"/>
      <c r="M84" s="1"/>
      <c r="N84" s="1"/>
      <c r="O84" s="1"/>
      <c r="P84" s="1"/>
      <c r="Q84" s="1"/>
      <c r="R84" s="1"/>
      <c r="S84" s="1"/>
      <c r="T84" s="1"/>
      <c r="U84" s="1"/>
      <c r="V84" s="1"/>
      <c r="W84" s="1"/>
    </row>
    <row r="85" spans="1:23">
      <c r="A85" s="223"/>
      <c r="B85" s="1"/>
      <c r="C85" s="1"/>
      <c r="D85" s="1"/>
      <c r="E85" s="1"/>
      <c r="F85" s="1"/>
      <c r="G85" s="1"/>
      <c r="H85" s="1"/>
      <c r="I85" s="1"/>
      <c r="J85" s="1"/>
      <c r="K85" s="1"/>
      <c r="L85" s="1"/>
      <c r="M85" s="1"/>
      <c r="N85" s="1"/>
      <c r="O85" s="1"/>
      <c r="P85" s="1"/>
      <c r="Q85" s="1"/>
      <c r="R85" s="1"/>
      <c r="S85" s="1"/>
      <c r="T85" s="1"/>
      <c r="U85" s="1"/>
      <c r="V85" s="1"/>
      <c r="W85" s="1"/>
    </row>
    <row r="86" spans="1:23">
      <c r="A86" s="223"/>
      <c r="B86" s="1"/>
      <c r="C86" s="1"/>
      <c r="D86" s="1"/>
      <c r="E86" s="1"/>
      <c r="F86" s="1"/>
      <c r="G86" s="1"/>
      <c r="H86" s="1"/>
      <c r="I86" s="1"/>
      <c r="J86" s="1"/>
      <c r="K86" s="1"/>
      <c r="L86" s="1"/>
      <c r="M86" s="1"/>
      <c r="N86" s="1"/>
      <c r="O86" s="1"/>
      <c r="P86" s="1"/>
      <c r="Q86" s="1"/>
      <c r="R86" s="1"/>
      <c r="S86" s="1"/>
      <c r="T86" s="1"/>
      <c r="U86" s="1"/>
      <c r="V86" s="1"/>
      <c r="W86" s="1"/>
    </row>
    <row r="87" spans="1:23">
      <c r="A87" s="223"/>
      <c r="B87" s="1"/>
      <c r="C87" s="1"/>
      <c r="D87" s="1"/>
      <c r="E87" s="1"/>
      <c r="F87" s="1"/>
      <c r="G87" s="1"/>
      <c r="H87" s="1"/>
      <c r="I87" s="1"/>
      <c r="J87" s="1"/>
      <c r="K87" s="1"/>
      <c r="L87" s="1"/>
      <c r="M87" s="1"/>
      <c r="N87" s="1"/>
      <c r="O87" s="1"/>
      <c r="P87" s="1"/>
      <c r="Q87" s="1"/>
      <c r="R87" s="1"/>
      <c r="S87" s="1"/>
      <c r="T87" s="1"/>
      <c r="U87" s="1"/>
      <c r="V87" s="1"/>
      <c r="W87" s="1"/>
    </row>
    <row r="88" spans="1:23">
      <c r="A88" s="223"/>
      <c r="B88" s="1"/>
      <c r="C88" s="1"/>
      <c r="D88" s="1"/>
      <c r="E88" s="1"/>
      <c r="F88" s="1"/>
      <c r="G88" s="1"/>
      <c r="H88" s="1"/>
      <c r="I88" s="1"/>
      <c r="J88" s="1"/>
      <c r="K88" s="1"/>
      <c r="L88" s="1"/>
      <c r="M88" s="1"/>
      <c r="N88" s="1"/>
      <c r="O88" s="1"/>
      <c r="P88" s="1"/>
      <c r="Q88" s="1"/>
      <c r="R88" s="1"/>
      <c r="S88" s="1"/>
      <c r="T88" s="1"/>
      <c r="U88" s="1"/>
      <c r="V88" s="1"/>
      <c r="W88" s="1"/>
    </row>
    <row r="89" spans="1:23">
      <c r="A89" s="223"/>
      <c r="B89" s="1"/>
      <c r="C89" s="1"/>
      <c r="D89" s="1"/>
      <c r="E89" s="1"/>
      <c r="F89" s="1"/>
      <c r="G89" s="1"/>
      <c r="H89" s="1"/>
      <c r="I89" s="1"/>
      <c r="J89" s="1"/>
      <c r="K89" s="1"/>
      <c r="L89" s="1"/>
      <c r="M89" s="1"/>
      <c r="N89" s="1"/>
      <c r="O89" s="1"/>
      <c r="P89" s="1"/>
      <c r="Q89" s="1"/>
      <c r="R89" s="1"/>
      <c r="S89" s="1"/>
      <c r="T89" s="1"/>
      <c r="U89" s="1"/>
      <c r="V89" s="1"/>
      <c r="W89" s="1"/>
    </row>
    <row r="90" spans="1:23">
      <c r="A90" s="223"/>
      <c r="B90" s="1"/>
      <c r="C90" s="1"/>
      <c r="D90" s="1"/>
      <c r="E90" s="1"/>
      <c r="F90" s="1"/>
      <c r="G90" s="1"/>
      <c r="H90" s="1"/>
      <c r="I90" s="1"/>
      <c r="J90" s="1"/>
      <c r="K90" s="1"/>
      <c r="L90" s="1"/>
      <c r="M90" s="1"/>
      <c r="N90" s="1"/>
      <c r="O90" s="1"/>
      <c r="P90" s="1"/>
      <c r="Q90" s="1"/>
      <c r="R90" s="1"/>
      <c r="S90" s="1"/>
      <c r="T90" s="1"/>
      <c r="U90" s="1"/>
      <c r="V90" s="1"/>
      <c r="W90" s="1"/>
    </row>
    <row r="91" spans="1:23">
      <c r="A91" s="223"/>
      <c r="B91" s="1"/>
      <c r="C91" s="1"/>
      <c r="D91" s="1"/>
      <c r="E91" s="1"/>
      <c r="F91" s="1"/>
      <c r="G91" s="1"/>
      <c r="H91" s="1"/>
      <c r="I91" s="1"/>
      <c r="J91" s="1"/>
      <c r="K91" s="1"/>
      <c r="L91" s="1"/>
      <c r="M91" s="1"/>
      <c r="N91" s="1"/>
      <c r="O91" s="1"/>
      <c r="P91" s="1"/>
      <c r="Q91" s="1"/>
      <c r="R91" s="1"/>
      <c r="S91" s="1"/>
      <c r="T91" s="1"/>
      <c r="U91" s="1"/>
      <c r="V91" s="1"/>
      <c r="W91" s="1"/>
    </row>
    <row r="92" spans="1:23">
      <c r="A92" s="223"/>
      <c r="B92" s="1"/>
      <c r="C92" s="1"/>
      <c r="D92" s="1"/>
      <c r="E92" s="1"/>
      <c r="F92" s="1"/>
      <c r="G92" s="1"/>
      <c r="H92" s="1"/>
      <c r="I92" s="1"/>
      <c r="J92" s="1"/>
      <c r="K92" s="1"/>
      <c r="L92" s="1"/>
      <c r="M92" s="1"/>
      <c r="N92" s="1"/>
      <c r="O92" s="1"/>
      <c r="P92" s="1"/>
      <c r="Q92" s="1"/>
      <c r="R92" s="1"/>
      <c r="S92" s="1"/>
      <c r="T92" s="1"/>
      <c r="U92" s="1"/>
      <c r="V92" s="1"/>
      <c r="W92" s="1"/>
    </row>
    <row r="93" spans="1:23">
      <c r="A93" s="223"/>
      <c r="B93" s="1"/>
      <c r="C93" s="1"/>
      <c r="D93" s="1"/>
      <c r="E93" s="1"/>
      <c r="F93" s="1"/>
      <c r="G93" s="1"/>
      <c r="H93" s="1"/>
      <c r="I93" s="1"/>
      <c r="J93" s="1"/>
      <c r="K93" s="1"/>
      <c r="L93" s="1"/>
      <c r="M93" s="1"/>
      <c r="N93" s="1"/>
      <c r="O93" s="1"/>
      <c r="P93" s="1"/>
      <c r="Q93" s="1"/>
      <c r="R93" s="1"/>
      <c r="S93" s="1"/>
      <c r="T93" s="1"/>
      <c r="U93" s="1"/>
      <c r="V93" s="1"/>
      <c r="W93" s="1"/>
    </row>
    <row r="94" spans="1:23">
      <c r="A94" s="223"/>
      <c r="B94" s="1"/>
      <c r="C94" s="1"/>
      <c r="D94" s="1"/>
      <c r="E94" s="1"/>
      <c r="F94" s="1"/>
      <c r="G94" s="1"/>
      <c r="H94" s="1"/>
      <c r="I94" s="1"/>
      <c r="J94" s="1"/>
      <c r="K94" s="1"/>
      <c r="L94" s="1"/>
      <c r="M94" s="1"/>
      <c r="N94" s="1"/>
      <c r="O94" s="1"/>
      <c r="P94" s="1"/>
      <c r="Q94" s="1"/>
      <c r="R94" s="1"/>
      <c r="S94" s="1"/>
      <c r="T94" s="1"/>
      <c r="U94" s="1"/>
      <c r="V94" s="1"/>
      <c r="W94" s="1"/>
    </row>
    <row r="95" spans="1:23">
      <c r="A95" s="223"/>
      <c r="B95" s="1"/>
      <c r="C95" s="1"/>
      <c r="D95" s="1"/>
      <c r="E95" s="1"/>
      <c r="F95" s="1"/>
      <c r="G95" s="1"/>
      <c r="H95" s="1"/>
      <c r="I95" s="1"/>
      <c r="J95" s="1"/>
      <c r="K95" s="1"/>
      <c r="L95" s="1"/>
      <c r="M95" s="1"/>
      <c r="N95" s="1"/>
      <c r="O95" s="1"/>
      <c r="P95" s="1"/>
      <c r="Q95" s="1"/>
      <c r="R95" s="1"/>
      <c r="S95" s="1"/>
      <c r="T95" s="1"/>
      <c r="U95" s="1"/>
      <c r="V95" s="1"/>
      <c r="W95" s="1"/>
    </row>
    <row r="96" spans="1:23">
      <c r="A96" s="223"/>
      <c r="B96" s="1"/>
      <c r="C96" s="1"/>
      <c r="D96" s="1"/>
      <c r="E96" s="1"/>
      <c r="F96" s="1"/>
      <c r="G96" s="1"/>
      <c r="H96" s="1"/>
      <c r="I96" s="1"/>
      <c r="J96" s="1"/>
      <c r="K96" s="1"/>
      <c r="L96" s="1"/>
      <c r="M96" s="1"/>
      <c r="N96" s="1"/>
      <c r="O96" s="1"/>
      <c r="P96" s="1"/>
      <c r="Q96" s="1"/>
      <c r="R96" s="1"/>
      <c r="S96" s="1"/>
      <c r="T96" s="1"/>
      <c r="U96" s="1"/>
      <c r="V96" s="1"/>
      <c r="W96" s="1"/>
    </row>
    <row r="97" spans="1:23">
      <c r="A97" s="223"/>
      <c r="B97" s="1"/>
      <c r="C97" s="1"/>
      <c r="D97" s="1"/>
      <c r="E97" s="1"/>
      <c r="F97" s="1"/>
      <c r="G97" s="1"/>
      <c r="H97" s="1"/>
      <c r="I97" s="1"/>
      <c r="J97" s="1"/>
      <c r="K97" s="1"/>
      <c r="L97" s="1"/>
      <c r="M97" s="1"/>
      <c r="N97" s="1"/>
      <c r="O97" s="1"/>
      <c r="P97" s="1"/>
      <c r="Q97" s="1"/>
      <c r="R97" s="1"/>
      <c r="S97" s="1"/>
      <c r="T97" s="1"/>
      <c r="U97" s="1"/>
      <c r="V97" s="1"/>
      <c r="W97" s="1"/>
    </row>
    <row r="98" spans="1:23">
      <c r="A98" s="223"/>
      <c r="B98" s="1"/>
      <c r="C98" s="1"/>
      <c r="D98" s="1"/>
      <c r="E98" s="1"/>
      <c r="F98" s="1"/>
      <c r="G98" s="1"/>
      <c r="H98" s="1"/>
      <c r="I98" s="1"/>
      <c r="J98" s="1"/>
      <c r="K98" s="1"/>
      <c r="L98" s="1"/>
      <c r="M98" s="1"/>
      <c r="N98" s="1"/>
      <c r="O98" s="1"/>
      <c r="P98" s="1"/>
      <c r="Q98" s="1"/>
      <c r="R98" s="1"/>
      <c r="S98" s="1"/>
      <c r="T98" s="1"/>
      <c r="U98" s="1"/>
      <c r="V98" s="1"/>
      <c r="W98" s="1"/>
    </row>
    <row r="99" spans="1:23">
      <c r="A99" s="223"/>
      <c r="B99" s="1"/>
      <c r="C99" s="1"/>
      <c r="D99" s="1"/>
      <c r="E99" s="1"/>
      <c r="F99" s="1"/>
      <c r="G99" s="1"/>
      <c r="H99" s="1"/>
      <c r="I99" s="1"/>
      <c r="J99" s="1"/>
      <c r="K99" s="1"/>
      <c r="L99" s="1"/>
      <c r="M99" s="1"/>
      <c r="N99" s="1"/>
      <c r="O99" s="1"/>
      <c r="P99" s="1"/>
      <c r="Q99" s="1"/>
      <c r="R99" s="1"/>
      <c r="S99" s="1"/>
      <c r="T99" s="1"/>
      <c r="U99" s="1"/>
      <c r="V99" s="1"/>
      <c r="W99" s="1"/>
    </row>
    <row r="100" spans="1:23">
      <c r="A100" s="223"/>
      <c r="B100" s="1"/>
      <c r="C100" s="1"/>
      <c r="D100" s="1"/>
      <c r="E100" s="1"/>
      <c r="F100" s="1"/>
      <c r="G100" s="1"/>
      <c r="H100" s="1"/>
      <c r="I100" s="1"/>
      <c r="J100" s="1"/>
      <c r="K100" s="1"/>
      <c r="L100" s="1"/>
      <c r="M100" s="1"/>
      <c r="N100" s="1"/>
      <c r="O100" s="1"/>
      <c r="P100" s="1"/>
      <c r="Q100" s="1"/>
      <c r="R100" s="1"/>
      <c r="S100" s="1"/>
      <c r="T100" s="1"/>
      <c r="U100" s="1"/>
      <c r="V100" s="1"/>
      <c r="W100" s="1"/>
    </row>
    <row r="101" spans="1:23">
      <c r="A101" s="223"/>
      <c r="B101" s="1"/>
      <c r="C101" s="1"/>
      <c r="D101" s="1"/>
      <c r="E101" s="1"/>
      <c r="F101" s="1"/>
      <c r="G101" s="1"/>
      <c r="H101" s="1"/>
      <c r="I101" s="1"/>
      <c r="J101" s="1"/>
      <c r="K101" s="1"/>
      <c r="L101" s="1"/>
      <c r="M101" s="1"/>
      <c r="N101" s="1"/>
      <c r="O101" s="1"/>
      <c r="P101" s="1"/>
      <c r="Q101" s="1"/>
      <c r="R101" s="1"/>
      <c r="S101" s="1"/>
      <c r="T101" s="1"/>
      <c r="U101" s="1"/>
      <c r="V101" s="1"/>
      <c r="W101" s="1"/>
    </row>
    <row r="102" spans="1:23">
      <c r="A102" s="223"/>
      <c r="B102" s="1"/>
      <c r="C102" s="1"/>
      <c r="D102" s="1"/>
      <c r="E102" s="1"/>
      <c r="F102" s="1"/>
      <c r="G102" s="1"/>
      <c r="H102" s="1"/>
      <c r="I102" s="1"/>
      <c r="J102" s="1"/>
      <c r="K102" s="1"/>
      <c r="L102" s="1"/>
      <c r="M102" s="1"/>
      <c r="N102" s="1"/>
      <c r="O102" s="1"/>
      <c r="P102" s="1"/>
      <c r="Q102" s="1"/>
      <c r="R102" s="1"/>
      <c r="S102" s="1"/>
      <c r="T102" s="1"/>
      <c r="U102" s="1"/>
      <c r="V102" s="1"/>
      <c r="W102" s="1"/>
    </row>
    <row r="103" spans="1:23">
      <c r="A103" s="223"/>
      <c r="B103" s="1"/>
      <c r="C103" s="1"/>
      <c r="D103" s="1"/>
      <c r="E103" s="1"/>
      <c r="F103" s="1"/>
      <c r="G103" s="1"/>
      <c r="H103" s="1"/>
      <c r="I103" s="1"/>
      <c r="J103" s="1"/>
      <c r="K103" s="1"/>
      <c r="L103" s="1"/>
      <c r="M103" s="1"/>
      <c r="N103" s="1"/>
      <c r="O103" s="1"/>
      <c r="P103" s="1"/>
      <c r="Q103" s="1"/>
      <c r="R103" s="1"/>
      <c r="S103" s="1"/>
      <c r="T103" s="1"/>
      <c r="U103" s="1"/>
      <c r="V103" s="1"/>
      <c r="W103" s="1"/>
    </row>
    <row r="104" spans="1:23">
      <c r="A104" s="223"/>
      <c r="B104" s="1"/>
      <c r="C104" s="1"/>
      <c r="D104" s="1"/>
      <c r="E104" s="1"/>
      <c r="F104" s="1"/>
      <c r="G104" s="1"/>
      <c r="H104" s="1"/>
      <c r="I104" s="1"/>
      <c r="J104" s="1"/>
      <c r="K104" s="1"/>
      <c r="L104" s="1"/>
      <c r="M104" s="1"/>
      <c r="N104" s="1"/>
      <c r="O104" s="1"/>
      <c r="P104" s="1"/>
      <c r="Q104" s="1"/>
      <c r="R104" s="1"/>
      <c r="S104" s="1"/>
      <c r="T104" s="1"/>
      <c r="U104" s="1"/>
      <c r="V104" s="1"/>
      <c r="W104" s="1"/>
    </row>
    <row r="105" spans="1:23">
      <c r="A105" s="223"/>
      <c r="B105" s="1"/>
      <c r="C105" s="1"/>
      <c r="D105" s="1"/>
      <c r="E105" s="1"/>
      <c r="F105" s="1"/>
      <c r="G105" s="1"/>
      <c r="H105" s="1"/>
      <c r="I105" s="1"/>
      <c r="J105" s="1"/>
      <c r="K105" s="1"/>
      <c r="L105" s="1"/>
      <c r="M105" s="1"/>
      <c r="N105" s="1"/>
      <c r="O105" s="1"/>
      <c r="P105" s="1"/>
      <c r="Q105" s="1"/>
      <c r="R105" s="1"/>
      <c r="S105" s="1"/>
      <c r="T105" s="1"/>
      <c r="U105" s="1"/>
      <c r="V105" s="1"/>
      <c r="W105" s="1"/>
    </row>
    <row r="106" spans="1:23">
      <c r="A106" s="223"/>
      <c r="B106" s="1"/>
      <c r="C106" s="1"/>
      <c r="D106" s="1"/>
      <c r="E106" s="1"/>
      <c r="F106" s="1"/>
      <c r="G106" s="1"/>
      <c r="H106" s="1"/>
      <c r="I106" s="1"/>
      <c r="J106" s="1"/>
      <c r="K106" s="1"/>
      <c r="L106" s="1"/>
      <c r="M106" s="1"/>
      <c r="N106" s="1"/>
      <c r="O106" s="1"/>
      <c r="P106" s="1"/>
      <c r="Q106" s="1"/>
      <c r="R106" s="1"/>
      <c r="S106" s="1"/>
      <c r="T106" s="1"/>
      <c r="U106" s="1"/>
      <c r="V106" s="1"/>
      <c r="W106" s="1"/>
    </row>
    <row r="107" spans="1:23">
      <c r="A107" s="223"/>
      <c r="B107" s="1"/>
      <c r="C107" s="1"/>
      <c r="D107" s="1"/>
      <c r="E107" s="1"/>
      <c r="F107" s="1"/>
      <c r="G107" s="1"/>
      <c r="H107" s="1"/>
      <c r="I107" s="1"/>
      <c r="J107" s="1"/>
      <c r="K107" s="1"/>
      <c r="L107" s="1"/>
      <c r="M107" s="1"/>
      <c r="N107" s="1"/>
      <c r="O107" s="1"/>
      <c r="P107" s="1"/>
      <c r="Q107" s="1"/>
      <c r="R107" s="1"/>
      <c r="S107" s="1"/>
      <c r="T107" s="1"/>
      <c r="U107" s="1"/>
      <c r="V107" s="1"/>
      <c r="W107" s="1"/>
    </row>
    <row r="108" spans="1:23">
      <c r="A108" s="223"/>
      <c r="B108" s="1"/>
      <c r="C108" s="1"/>
      <c r="D108" s="1"/>
      <c r="E108" s="1"/>
      <c r="F108" s="1"/>
      <c r="G108" s="1"/>
      <c r="H108" s="1"/>
      <c r="I108" s="1"/>
      <c r="J108" s="1"/>
      <c r="K108" s="1"/>
      <c r="L108" s="1"/>
      <c r="M108" s="1"/>
      <c r="N108" s="1"/>
      <c r="O108" s="1"/>
      <c r="P108" s="1"/>
      <c r="Q108" s="1"/>
      <c r="R108" s="1"/>
      <c r="S108" s="1"/>
      <c r="T108" s="1"/>
      <c r="U108" s="1"/>
      <c r="V108" s="1"/>
      <c r="W108" s="1"/>
    </row>
    <row r="109" spans="1:23">
      <c r="A109" s="223"/>
      <c r="B109" s="1"/>
      <c r="C109" s="1"/>
      <c r="D109" s="1"/>
      <c r="E109" s="1"/>
      <c r="F109" s="1"/>
      <c r="G109" s="1"/>
      <c r="H109" s="1"/>
      <c r="I109" s="1"/>
      <c r="J109" s="1"/>
      <c r="K109" s="1"/>
      <c r="L109" s="1"/>
      <c r="M109" s="1"/>
      <c r="N109" s="1"/>
      <c r="O109" s="1"/>
      <c r="P109" s="1"/>
      <c r="Q109" s="1"/>
      <c r="R109" s="1"/>
      <c r="S109" s="1"/>
      <c r="T109" s="1"/>
      <c r="U109" s="1"/>
      <c r="V109" s="1"/>
      <c r="W109" s="1"/>
    </row>
    <row r="110" spans="1:23">
      <c r="A110" s="223"/>
      <c r="B110" s="1"/>
      <c r="C110" s="1"/>
      <c r="D110" s="1"/>
      <c r="E110" s="1"/>
      <c r="F110" s="1"/>
      <c r="G110" s="1"/>
      <c r="H110" s="1"/>
      <c r="I110" s="1"/>
      <c r="J110" s="1"/>
      <c r="K110" s="1"/>
      <c r="L110" s="1"/>
      <c r="M110" s="1"/>
      <c r="N110" s="1"/>
      <c r="O110" s="1"/>
      <c r="P110" s="1"/>
      <c r="Q110" s="1"/>
      <c r="R110" s="1"/>
      <c r="S110" s="1"/>
      <c r="T110" s="1"/>
      <c r="U110" s="1"/>
      <c r="V110" s="1"/>
      <c r="W110" s="1"/>
    </row>
    <row r="111" spans="1:23">
      <c r="A111" s="223"/>
      <c r="B111" s="1"/>
      <c r="C111" s="1"/>
      <c r="D111" s="1"/>
      <c r="E111" s="1"/>
      <c r="F111" s="1"/>
      <c r="G111" s="1"/>
      <c r="H111" s="1"/>
      <c r="I111" s="1"/>
      <c r="J111" s="1"/>
      <c r="K111" s="1"/>
      <c r="L111" s="1"/>
      <c r="M111" s="1"/>
      <c r="N111" s="1"/>
      <c r="O111" s="1"/>
      <c r="P111" s="1"/>
      <c r="Q111" s="1"/>
      <c r="R111" s="1"/>
      <c r="S111" s="1"/>
      <c r="T111" s="1"/>
      <c r="U111" s="1"/>
      <c r="V111" s="1"/>
      <c r="W111" s="1"/>
    </row>
    <row r="112" spans="1:23">
      <c r="A112" s="223"/>
      <c r="B112" s="1"/>
      <c r="C112" s="1"/>
      <c r="D112" s="1"/>
      <c r="E112" s="1"/>
      <c r="F112" s="1"/>
      <c r="G112" s="1"/>
      <c r="H112" s="1"/>
      <c r="I112" s="1"/>
      <c r="J112" s="1"/>
      <c r="K112" s="1"/>
      <c r="L112" s="1"/>
      <c r="M112" s="1"/>
      <c r="N112" s="1"/>
      <c r="O112" s="1"/>
      <c r="P112" s="1"/>
      <c r="Q112" s="1"/>
      <c r="R112" s="1"/>
      <c r="S112" s="1"/>
      <c r="T112" s="1"/>
      <c r="U112" s="1"/>
      <c r="V112" s="1"/>
      <c r="W112" s="1"/>
    </row>
    <row r="113" spans="1:23">
      <c r="A113" s="223"/>
      <c r="B113" s="1"/>
      <c r="C113" s="1"/>
      <c r="D113" s="1"/>
      <c r="E113" s="1"/>
      <c r="F113" s="1"/>
      <c r="G113" s="1"/>
      <c r="H113" s="1"/>
      <c r="I113" s="1"/>
      <c r="J113" s="1"/>
      <c r="K113" s="1"/>
      <c r="L113" s="1"/>
      <c r="M113" s="1"/>
      <c r="N113" s="1"/>
      <c r="O113" s="1"/>
      <c r="P113" s="1"/>
      <c r="Q113" s="1"/>
      <c r="R113" s="1"/>
      <c r="S113" s="1"/>
      <c r="T113" s="1"/>
      <c r="U113" s="1"/>
      <c r="V113" s="1"/>
      <c r="W113" s="1"/>
    </row>
    <row r="114" spans="1:23">
      <c r="A114" s="223"/>
      <c r="B114" s="1"/>
      <c r="C114" s="1"/>
      <c r="D114" s="1"/>
      <c r="E114" s="1"/>
      <c r="F114" s="1"/>
      <c r="G114" s="1"/>
      <c r="H114" s="1"/>
      <c r="I114" s="1"/>
      <c r="J114" s="1"/>
      <c r="K114" s="1"/>
      <c r="L114" s="1"/>
      <c r="M114" s="1"/>
      <c r="N114" s="1"/>
      <c r="O114" s="1"/>
      <c r="P114" s="1"/>
      <c r="Q114" s="1"/>
      <c r="R114" s="1"/>
      <c r="S114" s="1"/>
      <c r="T114" s="1"/>
      <c r="U114" s="1"/>
      <c r="V114" s="1"/>
      <c r="W114" s="1"/>
    </row>
    <row r="115" spans="1:23">
      <c r="A115" s="223"/>
      <c r="B115" s="1"/>
      <c r="C115" s="1"/>
      <c r="D115" s="1"/>
      <c r="E115" s="1"/>
      <c r="F115" s="1"/>
      <c r="G115" s="1"/>
      <c r="H115" s="1"/>
      <c r="I115" s="1"/>
      <c r="J115" s="1"/>
      <c r="K115" s="1"/>
      <c r="L115" s="1"/>
      <c r="M115" s="1"/>
      <c r="N115" s="1"/>
      <c r="O115" s="1"/>
      <c r="P115" s="1"/>
      <c r="Q115" s="1"/>
      <c r="R115" s="1"/>
      <c r="S115" s="1"/>
      <c r="T115" s="1"/>
      <c r="U115" s="1"/>
      <c r="V115" s="1"/>
      <c r="W115" s="1"/>
    </row>
    <row r="116" spans="1:23">
      <c r="A116" s="223"/>
      <c r="B116" s="1"/>
      <c r="C116" s="1"/>
      <c r="D116" s="1"/>
      <c r="E116" s="1"/>
      <c r="F116" s="1"/>
      <c r="G116" s="1"/>
      <c r="H116" s="1"/>
      <c r="I116" s="1"/>
      <c r="J116" s="1"/>
      <c r="K116" s="1"/>
      <c r="L116" s="1"/>
      <c r="M116" s="1"/>
      <c r="N116" s="1"/>
      <c r="O116" s="1"/>
      <c r="P116" s="1"/>
      <c r="Q116" s="1"/>
      <c r="R116" s="1"/>
      <c r="S116" s="1"/>
      <c r="T116" s="1"/>
      <c r="U116" s="1"/>
      <c r="V116" s="1"/>
      <c r="W116" s="1"/>
    </row>
    <row r="117" spans="1:23">
      <c r="A117" s="223"/>
      <c r="B117" s="1"/>
      <c r="C117" s="1"/>
      <c r="D117" s="1"/>
      <c r="E117" s="1"/>
      <c r="F117" s="1"/>
      <c r="G117" s="1"/>
      <c r="H117" s="1"/>
      <c r="I117" s="1"/>
      <c r="J117" s="1"/>
      <c r="K117" s="1"/>
      <c r="L117" s="1"/>
      <c r="M117" s="1"/>
      <c r="N117" s="1"/>
      <c r="O117" s="1"/>
      <c r="P117" s="1"/>
      <c r="Q117" s="1"/>
      <c r="R117" s="1"/>
      <c r="S117" s="1"/>
      <c r="T117" s="1"/>
      <c r="U117" s="1"/>
      <c r="V117" s="1"/>
      <c r="W117" s="1"/>
    </row>
    <row r="118" spans="1:23">
      <c r="A118" s="223"/>
      <c r="B118" s="1"/>
      <c r="C118" s="1"/>
      <c r="D118" s="1"/>
      <c r="E118" s="1"/>
      <c r="F118" s="1"/>
      <c r="G118" s="1"/>
      <c r="H118" s="1"/>
      <c r="I118" s="1"/>
      <c r="J118" s="1"/>
      <c r="K118" s="1"/>
      <c r="L118" s="1"/>
      <c r="M118" s="1"/>
      <c r="N118" s="1"/>
      <c r="O118" s="1"/>
      <c r="P118" s="1"/>
      <c r="Q118" s="1"/>
      <c r="R118" s="1"/>
      <c r="S118" s="1"/>
      <c r="T118" s="1"/>
      <c r="U118" s="1"/>
      <c r="V118" s="1"/>
      <c r="W118" s="1"/>
    </row>
    <row r="119" spans="1:23">
      <c r="A119" s="223"/>
      <c r="B119" s="1"/>
      <c r="C119" s="1"/>
      <c r="D119" s="1"/>
      <c r="E119" s="1"/>
      <c r="F119" s="1"/>
      <c r="G119" s="1"/>
      <c r="H119" s="1"/>
      <c r="I119" s="1"/>
      <c r="J119" s="1"/>
      <c r="K119" s="1"/>
      <c r="L119" s="1"/>
      <c r="M119" s="1"/>
      <c r="N119" s="1"/>
      <c r="O119" s="1"/>
      <c r="P119" s="1"/>
      <c r="Q119" s="1"/>
      <c r="R119" s="1"/>
      <c r="S119" s="1"/>
      <c r="T119" s="1"/>
      <c r="U119" s="1"/>
      <c r="V119" s="1"/>
      <c r="W119" s="1"/>
    </row>
    <row r="120" spans="1:23">
      <c r="A120" s="223"/>
      <c r="B120" s="1"/>
      <c r="C120" s="1"/>
      <c r="D120" s="1"/>
      <c r="E120" s="1"/>
      <c r="F120" s="1"/>
      <c r="G120" s="1"/>
      <c r="H120" s="1"/>
      <c r="I120" s="1"/>
      <c r="J120" s="1"/>
      <c r="K120" s="1"/>
      <c r="L120" s="1"/>
      <c r="M120" s="1"/>
      <c r="N120" s="1"/>
      <c r="O120" s="1"/>
      <c r="P120" s="1"/>
      <c r="Q120" s="1"/>
      <c r="R120" s="1"/>
      <c r="S120" s="1"/>
      <c r="T120" s="1"/>
      <c r="U120" s="1"/>
      <c r="V120" s="1"/>
      <c r="W120" s="1"/>
    </row>
    <row r="121" spans="1:23">
      <c r="A121" s="223"/>
      <c r="B121" s="1"/>
      <c r="C121" s="1"/>
      <c r="D121" s="1"/>
      <c r="E121" s="1"/>
      <c r="F121" s="1"/>
      <c r="G121" s="1"/>
      <c r="H121" s="1"/>
      <c r="I121" s="1"/>
      <c r="J121" s="1"/>
      <c r="K121" s="1"/>
      <c r="L121" s="1"/>
      <c r="M121" s="1"/>
      <c r="N121" s="1"/>
      <c r="O121" s="1"/>
      <c r="P121" s="1"/>
      <c r="Q121" s="1"/>
      <c r="R121" s="1"/>
      <c r="S121" s="1"/>
      <c r="T121" s="1"/>
      <c r="U121" s="1"/>
      <c r="V121" s="1"/>
      <c r="W121" s="1"/>
    </row>
    <row r="122" spans="1:23">
      <c r="A122" s="223"/>
      <c r="B122" s="1"/>
      <c r="C122" s="1"/>
      <c r="D122" s="1"/>
      <c r="E122" s="1"/>
      <c r="F122" s="1"/>
      <c r="G122" s="1"/>
      <c r="H122" s="1"/>
      <c r="I122" s="1"/>
      <c r="J122" s="1"/>
      <c r="K122" s="1"/>
      <c r="L122" s="1"/>
      <c r="M122" s="1"/>
      <c r="N122" s="1"/>
      <c r="O122" s="1"/>
      <c r="P122" s="1"/>
      <c r="Q122" s="1"/>
      <c r="R122" s="1"/>
      <c r="S122" s="1"/>
      <c r="T122" s="1"/>
      <c r="U122" s="1"/>
      <c r="V122" s="1"/>
      <c r="W122" s="1"/>
    </row>
    <row r="123" spans="1:23">
      <c r="A123" s="223"/>
      <c r="B123" s="1"/>
      <c r="C123" s="1"/>
      <c r="D123" s="1"/>
      <c r="E123" s="1"/>
      <c r="F123" s="1"/>
      <c r="G123" s="1"/>
      <c r="H123" s="1"/>
      <c r="I123" s="1"/>
      <c r="J123" s="1"/>
      <c r="K123" s="1"/>
      <c r="L123" s="1"/>
      <c r="M123" s="1"/>
      <c r="N123" s="1"/>
      <c r="O123" s="1"/>
      <c r="P123" s="1"/>
      <c r="Q123" s="1"/>
      <c r="R123" s="1"/>
      <c r="S123" s="1"/>
      <c r="T123" s="1"/>
      <c r="U123" s="1"/>
      <c r="V123" s="1"/>
      <c r="W123" s="1"/>
    </row>
    <row r="124" spans="1:23">
      <c r="A124" s="223"/>
      <c r="B124" s="1"/>
      <c r="C124" s="1"/>
      <c r="D124" s="1"/>
      <c r="E124" s="1"/>
      <c r="F124" s="1"/>
      <c r="G124" s="1"/>
      <c r="H124" s="1"/>
      <c r="I124" s="1"/>
      <c r="J124" s="1"/>
      <c r="K124" s="1"/>
      <c r="L124" s="1"/>
      <c r="M124" s="1"/>
      <c r="N124" s="1"/>
      <c r="O124" s="1"/>
      <c r="P124" s="1"/>
      <c r="Q124" s="1"/>
      <c r="R124" s="1"/>
      <c r="S124" s="1"/>
      <c r="T124" s="1"/>
      <c r="U124" s="1"/>
      <c r="V124" s="1"/>
      <c r="W124" s="1"/>
    </row>
    <row r="125" spans="1:23">
      <c r="A125" s="223"/>
      <c r="B125" s="1"/>
      <c r="C125" s="1"/>
      <c r="D125" s="1"/>
      <c r="E125" s="1"/>
      <c r="F125" s="1"/>
      <c r="G125" s="1"/>
      <c r="H125" s="1"/>
      <c r="I125" s="1"/>
      <c r="J125" s="1"/>
      <c r="K125" s="1"/>
      <c r="L125" s="1"/>
      <c r="M125" s="1"/>
      <c r="N125" s="1"/>
      <c r="O125" s="1"/>
      <c r="P125" s="1"/>
      <c r="Q125" s="1"/>
      <c r="R125" s="1"/>
      <c r="S125" s="1"/>
      <c r="T125" s="1"/>
      <c r="U125" s="1"/>
      <c r="V125" s="1"/>
      <c r="W125" s="1"/>
    </row>
    <row r="126" spans="1:23">
      <c r="A126" s="223"/>
      <c r="B126" s="1"/>
      <c r="C126" s="1"/>
      <c r="D126" s="1"/>
      <c r="E126" s="1"/>
      <c r="F126" s="1"/>
      <c r="G126" s="1"/>
      <c r="H126" s="1"/>
      <c r="I126" s="1"/>
      <c r="J126" s="1"/>
      <c r="K126" s="1"/>
      <c r="L126" s="1"/>
      <c r="M126" s="1"/>
      <c r="N126" s="1"/>
      <c r="O126" s="1"/>
      <c r="P126" s="1"/>
      <c r="Q126" s="1"/>
      <c r="R126" s="1"/>
      <c r="S126" s="1"/>
      <c r="T126" s="1"/>
      <c r="U126" s="1"/>
      <c r="V126" s="1"/>
      <c r="W126" s="1"/>
    </row>
    <row r="127" spans="1:23">
      <c r="A127" s="223"/>
      <c r="B127" s="1"/>
      <c r="C127" s="1"/>
      <c r="D127" s="1"/>
      <c r="E127" s="1"/>
      <c r="F127" s="1"/>
      <c r="G127" s="1"/>
      <c r="H127" s="1"/>
      <c r="I127" s="1"/>
      <c r="J127" s="1"/>
      <c r="K127" s="1"/>
      <c r="L127" s="1"/>
      <c r="M127" s="1"/>
      <c r="N127" s="1"/>
      <c r="O127" s="1"/>
      <c r="P127" s="1"/>
      <c r="Q127" s="1"/>
      <c r="R127" s="1"/>
      <c r="S127" s="1"/>
      <c r="T127" s="1"/>
      <c r="U127" s="1"/>
      <c r="V127" s="1"/>
      <c r="W127" s="1"/>
    </row>
    <row r="128" spans="1:23">
      <c r="A128" s="223"/>
      <c r="B128" s="1"/>
      <c r="C128" s="1"/>
      <c r="D128" s="1"/>
      <c r="E128" s="1"/>
      <c r="F128" s="1"/>
      <c r="G128" s="1"/>
      <c r="H128" s="1"/>
      <c r="I128" s="1"/>
      <c r="J128" s="1"/>
      <c r="K128" s="1"/>
      <c r="L128" s="1"/>
      <c r="M128" s="1"/>
      <c r="N128" s="1"/>
      <c r="O128" s="1"/>
      <c r="P128" s="1"/>
      <c r="Q128" s="1"/>
      <c r="R128" s="1"/>
      <c r="S128" s="1"/>
      <c r="T128" s="1"/>
      <c r="U128" s="1"/>
      <c r="V128" s="1"/>
      <c r="W128" s="1"/>
    </row>
    <row r="129" spans="1:23">
      <c r="A129" s="223"/>
      <c r="B129" s="1"/>
      <c r="C129" s="1"/>
      <c r="D129" s="1"/>
      <c r="E129" s="1"/>
      <c r="F129" s="1"/>
      <c r="G129" s="1"/>
      <c r="H129" s="1"/>
      <c r="I129" s="1"/>
      <c r="J129" s="1"/>
      <c r="K129" s="1"/>
      <c r="L129" s="1"/>
      <c r="M129" s="1"/>
      <c r="N129" s="1"/>
      <c r="O129" s="1"/>
      <c r="P129" s="1"/>
      <c r="Q129" s="1"/>
      <c r="R129" s="1"/>
      <c r="S129" s="1"/>
      <c r="T129" s="1"/>
      <c r="U129" s="1"/>
      <c r="V129" s="1"/>
      <c r="W129" s="1"/>
    </row>
    <row r="130" spans="1:23">
      <c r="A130" s="223"/>
      <c r="B130" s="1"/>
      <c r="C130" s="1"/>
      <c r="D130" s="1"/>
      <c r="E130" s="1"/>
      <c r="F130" s="1"/>
      <c r="G130" s="1"/>
      <c r="H130" s="1"/>
      <c r="I130" s="1"/>
      <c r="J130" s="1"/>
      <c r="K130" s="1"/>
      <c r="L130" s="1"/>
      <c r="M130" s="1"/>
      <c r="N130" s="1"/>
      <c r="O130" s="1"/>
      <c r="P130" s="1"/>
      <c r="Q130" s="1"/>
      <c r="R130" s="1"/>
      <c r="S130" s="1"/>
      <c r="T130" s="1"/>
      <c r="U130" s="1"/>
      <c r="V130" s="1"/>
      <c r="W130" s="1"/>
    </row>
    <row r="131" spans="1:23">
      <c r="A131" s="223"/>
      <c r="B131" s="1"/>
      <c r="C131" s="1"/>
      <c r="D131" s="1"/>
      <c r="E131" s="1"/>
      <c r="F131" s="1"/>
      <c r="G131" s="1"/>
      <c r="H131" s="1"/>
      <c r="I131" s="1"/>
      <c r="J131" s="1"/>
      <c r="K131" s="1"/>
      <c r="L131" s="1"/>
      <c r="M131" s="1"/>
      <c r="N131" s="1"/>
      <c r="O131" s="1"/>
      <c r="P131" s="1"/>
      <c r="Q131" s="1"/>
      <c r="R131" s="1"/>
      <c r="S131" s="1"/>
      <c r="T131" s="1"/>
      <c r="U131" s="1"/>
      <c r="V131" s="1"/>
      <c r="W131" s="1"/>
    </row>
    <row r="132" spans="1:23">
      <c r="A132" s="223"/>
      <c r="B132" s="1"/>
      <c r="C132" s="1"/>
      <c r="D132" s="1"/>
      <c r="E132" s="1"/>
      <c r="F132" s="1"/>
      <c r="G132" s="1"/>
      <c r="H132" s="1"/>
      <c r="I132" s="1"/>
      <c r="J132" s="1"/>
      <c r="K132" s="1"/>
      <c r="L132" s="1"/>
      <c r="M132" s="1"/>
      <c r="N132" s="1"/>
      <c r="O132" s="1"/>
      <c r="P132" s="1"/>
      <c r="Q132" s="1"/>
      <c r="R132" s="1"/>
      <c r="S132" s="1"/>
      <c r="T132" s="1"/>
      <c r="U132" s="1"/>
      <c r="V132" s="1"/>
      <c r="W132" s="1"/>
    </row>
    <row r="133" spans="1:23">
      <c r="A133" s="223"/>
      <c r="B133" s="1"/>
      <c r="C133" s="1"/>
      <c r="D133" s="1"/>
      <c r="E133" s="1"/>
      <c r="F133" s="1"/>
      <c r="G133" s="1"/>
      <c r="H133" s="1"/>
      <c r="I133" s="1"/>
      <c r="J133" s="1"/>
      <c r="K133" s="1"/>
      <c r="L133" s="1"/>
      <c r="M133" s="1"/>
      <c r="N133" s="1"/>
      <c r="O133" s="1"/>
      <c r="P133" s="1"/>
      <c r="Q133" s="1"/>
      <c r="R133" s="1"/>
      <c r="S133" s="1"/>
      <c r="T133" s="1"/>
      <c r="U133" s="1"/>
      <c r="V133" s="1"/>
      <c r="W133" s="1"/>
    </row>
    <row r="134" spans="1:23">
      <c r="A134" s="223"/>
      <c r="B134" s="1"/>
      <c r="C134" s="1"/>
      <c r="D134" s="1"/>
      <c r="E134" s="1"/>
      <c r="F134" s="1"/>
      <c r="G134" s="1"/>
      <c r="H134" s="1"/>
      <c r="I134" s="1"/>
      <c r="J134" s="1"/>
      <c r="K134" s="1"/>
      <c r="L134" s="1"/>
      <c r="M134" s="1"/>
      <c r="N134" s="1"/>
      <c r="O134" s="1"/>
      <c r="P134" s="1"/>
      <c r="Q134" s="1"/>
      <c r="R134" s="1"/>
      <c r="S134" s="1"/>
      <c r="T134" s="1"/>
      <c r="U134" s="1"/>
      <c r="V134" s="1"/>
      <c r="W134" s="1"/>
    </row>
    <row r="135" spans="1:23">
      <c r="A135" s="223"/>
      <c r="B135" s="1"/>
      <c r="C135" s="1"/>
      <c r="D135" s="1"/>
      <c r="E135" s="1"/>
      <c r="F135" s="1"/>
      <c r="G135" s="1"/>
      <c r="H135" s="1"/>
      <c r="I135" s="1"/>
      <c r="J135" s="1"/>
      <c r="K135" s="1"/>
      <c r="L135" s="1"/>
      <c r="M135" s="1"/>
      <c r="N135" s="1"/>
      <c r="O135" s="1"/>
      <c r="P135" s="1"/>
      <c r="Q135" s="1"/>
      <c r="R135" s="1"/>
      <c r="S135" s="1"/>
      <c r="T135" s="1"/>
      <c r="U135" s="1"/>
      <c r="V135" s="1"/>
      <c r="W135" s="1"/>
    </row>
    <row r="136" spans="1:23">
      <c r="A136" s="223"/>
      <c r="B136" s="1"/>
      <c r="C136" s="1"/>
      <c r="D136" s="1"/>
      <c r="E136" s="1"/>
      <c r="F136" s="1"/>
      <c r="G136" s="1"/>
      <c r="H136" s="1"/>
      <c r="I136" s="1"/>
      <c r="J136" s="1"/>
      <c r="K136" s="1"/>
      <c r="L136" s="1"/>
      <c r="M136" s="1"/>
      <c r="N136" s="1"/>
      <c r="O136" s="1"/>
      <c r="P136" s="1"/>
      <c r="Q136" s="1"/>
      <c r="R136" s="1"/>
      <c r="S136" s="1"/>
      <c r="T136" s="1"/>
      <c r="U136" s="1"/>
      <c r="V136" s="1"/>
      <c r="W136" s="1"/>
    </row>
    <row r="137" spans="1:23">
      <c r="A137" s="223"/>
      <c r="B137" s="1"/>
      <c r="C137" s="1"/>
      <c r="D137" s="1"/>
      <c r="E137" s="1"/>
      <c r="F137" s="1"/>
      <c r="G137" s="1"/>
      <c r="H137" s="1"/>
      <c r="I137" s="1"/>
      <c r="J137" s="1"/>
      <c r="K137" s="1"/>
      <c r="L137" s="1"/>
      <c r="M137" s="1"/>
      <c r="N137" s="1"/>
      <c r="O137" s="1"/>
      <c r="P137" s="1"/>
      <c r="Q137" s="1"/>
      <c r="R137" s="1"/>
      <c r="S137" s="1"/>
      <c r="T137" s="1"/>
      <c r="U137" s="1"/>
      <c r="V137" s="1"/>
      <c r="W137" s="1"/>
    </row>
    <row r="138" spans="1:23">
      <c r="A138" s="223"/>
      <c r="B138" s="1"/>
      <c r="C138" s="1"/>
      <c r="D138" s="1"/>
      <c r="E138" s="1"/>
      <c r="F138" s="1"/>
      <c r="G138" s="1"/>
      <c r="H138" s="1"/>
      <c r="I138" s="1"/>
      <c r="J138" s="1"/>
      <c r="K138" s="1"/>
      <c r="L138" s="1"/>
      <c r="M138" s="1"/>
      <c r="N138" s="1"/>
      <c r="O138" s="1"/>
      <c r="P138" s="1"/>
      <c r="Q138" s="1"/>
      <c r="R138" s="1"/>
      <c r="S138" s="1"/>
      <c r="T138" s="1"/>
      <c r="U138" s="1"/>
      <c r="V138" s="1"/>
      <c r="W138" s="1"/>
    </row>
    <row r="139" spans="1:23">
      <c r="A139" s="223"/>
      <c r="B139" s="1"/>
      <c r="C139" s="1"/>
      <c r="D139" s="1"/>
      <c r="E139" s="1"/>
      <c r="F139" s="1"/>
      <c r="G139" s="1"/>
      <c r="H139" s="1"/>
      <c r="I139" s="1"/>
      <c r="J139" s="1"/>
      <c r="K139" s="1"/>
      <c r="L139" s="1"/>
      <c r="M139" s="1"/>
      <c r="N139" s="1"/>
      <c r="O139" s="1"/>
      <c r="P139" s="1"/>
      <c r="Q139" s="1"/>
      <c r="R139" s="1"/>
      <c r="S139" s="1"/>
      <c r="T139" s="1"/>
      <c r="U139" s="1"/>
      <c r="V139" s="1"/>
      <c r="W139" s="1"/>
    </row>
    <row r="140" spans="1:23">
      <c r="A140" s="223"/>
      <c r="B140" s="1"/>
      <c r="C140" s="1"/>
      <c r="D140" s="1"/>
      <c r="E140" s="1"/>
      <c r="F140" s="1"/>
      <c r="G140" s="1"/>
      <c r="H140" s="1"/>
      <c r="I140" s="1"/>
      <c r="J140" s="1"/>
      <c r="K140" s="1"/>
      <c r="L140" s="1"/>
      <c r="M140" s="1"/>
      <c r="N140" s="1"/>
      <c r="O140" s="1"/>
      <c r="P140" s="1"/>
      <c r="Q140" s="1"/>
      <c r="R140" s="1"/>
      <c r="S140" s="1"/>
      <c r="T140" s="1"/>
      <c r="U140" s="1"/>
      <c r="V140" s="1"/>
      <c r="W140" s="1"/>
    </row>
    <row r="141" spans="1:23">
      <c r="A141" s="223"/>
      <c r="B141" s="1"/>
      <c r="C141" s="1"/>
      <c r="D141" s="1"/>
      <c r="E141" s="1"/>
      <c r="F141" s="1"/>
      <c r="G141" s="1"/>
      <c r="H141" s="1"/>
      <c r="I141" s="1"/>
      <c r="J141" s="1"/>
      <c r="K141" s="1"/>
      <c r="L141" s="1"/>
      <c r="M141" s="1"/>
      <c r="N141" s="1"/>
      <c r="O141" s="1"/>
      <c r="P141" s="1"/>
      <c r="Q141" s="1"/>
      <c r="R141" s="1"/>
      <c r="S141" s="1"/>
      <c r="T141" s="1"/>
      <c r="U141" s="1"/>
      <c r="V141" s="1"/>
      <c r="W141" s="1"/>
    </row>
    <row r="142" spans="1:23">
      <c r="A142" s="223"/>
      <c r="B142" s="1"/>
      <c r="C142" s="1"/>
      <c r="D142" s="1"/>
      <c r="E142" s="1"/>
      <c r="F142" s="1"/>
      <c r="G142" s="1"/>
      <c r="H142" s="1"/>
      <c r="I142" s="1"/>
      <c r="J142" s="1"/>
      <c r="K142" s="1"/>
      <c r="L142" s="1"/>
      <c r="M142" s="1"/>
      <c r="N142" s="1"/>
      <c r="O142" s="1"/>
      <c r="P142" s="1"/>
      <c r="Q142" s="1"/>
      <c r="R142" s="1"/>
      <c r="S142" s="1"/>
      <c r="T142" s="1"/>
      <c r="U142" s="1"/>
      <c r="V142" s="1"/>
      <c r="W142" s="1"/>
    </row>
    <row r="143" spans="1:23">
      <c r="A143" s="223"/>
      <c r="B143" s="1"/>
      <c r="C143" s="1"/>
      <c r="D143" s="1"/>
      <c r="E143" s="1"/>
      <c r="F143" s="1"/>
      <c r="G143" s="1"/>
      <c r="H143" s="1"/>
      <c r="I143" s="1"/>
      <c r="J143" s="1"/>
      <c r="K143" s="1"/>
      <c r="L143" s="1"/>
      <c r="M143" s="1"/>
      <c r="N143" s="1"/>
      <c r="O143" s="1"/>
      <c r="P143" s="1"/>
      <c r="Q143" s="1"/>
      <c r="R143" s="1"/>
      <c r="S143" s="1"/>
      <c r="T143" s="1"/>
      <c r="U143" s="1"/>
      <c r="V143" s="1"/>
      <c r="W143" s="1"/>
    </row>
    <row r="144" spans="1:23">
      <c r="A144" s="223"/>
      <c r="B144" s="1"/>
      <c r="C144" s="1"/>
      <c r="D144" s="1"/>
      <c r="E144" s="1"/>
      <c r="F144" s="1"/>
      <c r="G144" s="1"/>
      <c r="H144" s="1"/>
      <c r="I144" s="1"/>
      <c r="J144" s="1"/>
      <c r="K144" s="1"/>
      <c r="L144" s="1"/>
      <c r="M144" s="1"/>
      <c r="N144" s="1"/>
      <c r="O144" s="1"/>
      <c r="P144" s="1"/>
      <c r="Q144" s="1"/>
      <c r="R144" s="1"/>
      <c r="S144" s="1"/>
      <c r="T144" s="1"/>
      <c r="U144" s="1"/>
      <c r="V144" s="1"/>
      <c r="W144" s="1"/>
    </row>
    <row r="145" spans="1:23">
      <c r="A145" s="223"/>
      <c r="B145" s="1"/>
      <c r="C145" s="1"/>
      <c r="D145" s="1"/>
      <c r="E145" s="1"/>
      <c r="F145" s="1"/>
      <c r="G145" s="1"/>
      <c r="H145" s="1"/>
      <c r="I145" s="1"/>
      <c r="J145" s="1"/>
      <c r="K145" s="1"/>
      <c r="L145" s="1"/>
      <c r="M145" s="1"/>
      <c r="N145" s="1"/>
      <c r="O145" s="1"/>
      <c r="P145" s="1"/>
      <c r="Q145" s="1"/>
      <c r="R145" s="1"/>
      <c r="S145" s="1"/>
      <c r="T145" s="1"/>
      <c r="U145" s="1"/>
      <c r="V145" s="1"/>
      <c r="W145" s="1"/>
    </row>
    <row r="146" spans="1:23">
      <c r="A146" s="223"/>
      <c r="B146" s="1"/>
      <c r="C146" s="1"/>
      <c r="D146" s="1"/>
      <c r="E146" s="1"/>
      <c r="F146" s="1"/>
      <c r="G146" s="1"/>
      <c r="H146" s="1"/>
      <c r="I146" s="1"/>
      <c r="J146" s="1"/>
      <c r="K146" s="1"/>
      <c r="L146" s="1"/>
      <c r="M146" s="1"/>
      <c r="N146" s="1"/>
      <c r="O146" s="1"/>
      <c r="P146" s="1"/>
      <c r="Q146" s="1"/>
      <c r="R146" s="1"/>
      <c r="S146" s="1"/>
      <c r="T146" s="1"/>
      <c r="U146" s="1"/>
      <c r="V146" s="1"/>
      <c r="W146" s="1"/>
    </row>
    <row r="147" spans="1:23">
      <c r="A147" s="223"/>
      <c r="B147" s="1"/>
      <c r="C147" s="1"/>
      <c r="D147" s="1"/>
      <c r="E147" s="1"/>
      <c r="F147" s="1"/>
      <c r="G147" s="1"/>
      <c r="H147" s="1"/>
      <c r="I147" s="1"/>
      <c r="J147" s="1"/>
      <c r="K147" s="1"/>
      <c r="L147" s="1"/>
      <c r="M147" s="1"/>
      <c r="N147" s="1"/>
      <c r="O147" s="1"/>
      <c r="P147" s="1"/>
      <c r="Q147" s="1"/>
      <c r="R147" s="1"/>
      <c r="S147" s="1"/>
      <c r="T147" s="1"/>
      <c r="U147" s="1"/>
      <c r="V147" s="1"/>
      <c r="W147" s="1"/>
    </row>
    <row r="148" spans="1:23">
      <c r="A148" s="223"/>
      <c r="B148" s="1"/>
      <c r="C148" s="1"/>
      <c r="D148" s="1"/>
      <c r="E148" s="1"/>
      <c r="F148" s="1"/>
      <c r="G148" s="1"/>
      <c r="H148" s="1"/>
      <c r="I148" s="1"/>
      <c r="J148" s="1"/>
      <c r="K148" s="1"/>
      <c r="L148" s="1"/>
      <c r="M148" s="1"/>
      <c r="N148" s="1"/>
      <c r="O148" s="1"/>
      <c r="P148" s="1"/>
      <c r="Q148" s="1"/>
      <c r="R148" s="1"/>
      <c r="S148" s="1"/>
      <c r="T148" s="1"/>
      <c r="U148" s="1"/>
      <c r="V148" s="1"/>
      <c r="W148" s="1"/>
    </row>
    <row r="149" spans="1:23">
      <c r="A149" s="223"/>
      <c r="B149" s="1"/>
      <c r="C149" s="1"/>
      <c r="D149" s="1"/>
      <c r="E149" s="1"/>
      <c r="F149" s="1"/>
      <c r="G149" s="1"/>
      <c r="H149" s="1"/>
      <c r="I149" s="1"/>
      <c r="J149" s="1"/>
      <c r="K149" s="1"/>
      <c r="L149" s="1"/>
      <c r="M149" s="1"/>
      <c r="N149" s="1"/>
      <c r="O149" s="1"/>
      <c r="P149" s="1"/>
      <c r="Q149" s="1"/>
      <c r="R149" s="1"/>
      <c r="S149" s="1"/>
      <c r="T149" s="1"/>
      <c r="U149" s="1"/>
      <c r="V149" s="1"/>
      <c r="W149" s="1"/>
    </row>
    <row r="150" spans="1:23">
      <c r="A150" s="223"/>
      <c r="B150" s="1"/>
      <c r="C150" s="1"/>
      <c r="D150" s="1"/>
      <c r="E150" s="1"/>
      <c r="F150" s="1"/>
      <c r="G150" s="1"/>
      <c r="H150" s="1"/>
      <c r="I150" s="1"/>
      <c r="J150" s="1"/>
      <c r="K150" s="1"/>
      <c r="L150" s="1"/>
      <c r="M150" s="1"/>
      <c r="N150" s="1"/>
      <c r="O150" s="1"/>
      <c r="P150" s="1"/>
      <c r="Q150" s="1"/>
      <c r="R150" s="1"/>
      <c r="S150" s="1"/>
      <c r="T150" s="1"/>
      <c r="U150" s="1"/>
      <c r="V150" s="1"/>
      <c r="W150" s="1"/>
    </row>
    <row r="151" spans="1:23">
      <c r="A151" s="223"/>
      <c r="B151" s="1"/>
      <c r="C151" s="1"/>
      <c r="D151" s="1"/>
      <c r="E151" s="1"/>
      <c r="F151" s="1"/>
      <c r="G151" s="1"/>
      <c r="H151" s="1"/>
      <c r="I151" s="1"/>
      <c r="J151" s="1"/>
      <c r="K151" s="1"/>
      <c r="L151" s="1"/>
      <c r="M151" s="1"/>
      <c r="N151" s="1"/>
      <c r="O151" s="1"/>
      <c r="P151" s="1"/>
      <c r="Q151" s="1"/>
      <c r="R151" s="1"/>
      <c r="S151" s="1"/>
      <c r="T151" s="1"/>
      <c r="U151" s="1"/>
      <c r="V151" s="1"/>
      <c r="W151" s="1"/>
    </row>
    <row r="152" spans="1:23">
      <c r="A152" s="223"/>
      <c r="B152" s="1"/>
      <c r="C152" s="1"/>
      <c r="D152" s="1"/>
      <c r="E152" s="1"/>
      <c r="F152" s="1"/>
      <c r="G152" s="1"/>
      <c r="H152" s="1"/>
      <c r="I152" s="1"/>
      <c r="J152" s="1"/>
      <c r="K152" s="1"/>
      <c r="L152" s="1"/>
      <c r="M152" s="1"/>
      <c r="N152" s="1"/>
      <c r="O152" s="1"/>
      <c r="P152" s="1"/>
      <c r="Q152" s="1"/>
      <c r="R152" s="1"/>
      <c r="S152" s="1"/>
      <c r="T152" s="1"/>
      <c r="U152" s="1"/>
      <c r="V152" s="1"/>
      <c r="W152" s="1"/>
    </row>
    <row r="153" spans="1:23">
      <c r="A153" s="223"/>
      <c r="B153" s="1"/>
      <c r="C153" s="1"/>
      <c r="D153" s="1"/>
      <c r="E153" s="1"/>
      <c r="F153" s="1"/>
      <c r="G153" s="1"/>
      <c r="H153" s="1"/>
      <c r="I153" s="1"/>
      <c r="J153" s="1"/>
      <c r="K153" s="1"/>
      <c r="L153" s="1"/>
      <c r="M153" s="1"/>
      <c r="N153" s="1"/>
      <c r="O153" s="1"/>
      <c r="P153" s="1"/>
      <c r="Q153" s="1"/>
      <c r="R153" s="1"/>
      <c r="S153" s="1"/>
      <c r="T153" s="1"/>
      <c r="U153" s="1"/>
      <c r="V153" s="1"/>
      <c r="W153" s="1"/>
    </row>
    <row r="154" spans="1:23">
      <c r="A154" s="223"/>
      <c r="B154" s="1"/>
      <c r="C154" s="1"/>
      <c r="D154" s="1"/>
      <c r="E154" s="1"/>
      <c r="F154" s="1"/>
      <c r="G154" s="1"/>
      <c r="H154" s="1"/>
      <c r="I154" s="1"/>
      <c r="J154" s="1"/>
      <c r="K154" s="1"/>
      <c r="L154" s="1"/>
      <c r="M154" s="1"/>
      <c r="N154" s="1"/>
      <c r="O154" s="1"/>
      <c r="P154" s="1"/>
      <c r="Q154" s="1"/>
      <c r="R154" s="1"/>
      <c r="S154" s="1"/>
      <c r="T154" s="1"/>
      <c r="U154" s="1"/>
      <c r="V154" s="1"/>
      <c r="W154" s="1"/>
    </row>
    <row r="155" spans="1:23">
      <c r="A155" s="223"/>
      <c r="B155" s="1"/>
      <c r="C155" s="1"/>
      <c r="D155" s="1"/>
      <c r="E155" s="1"/>
      <c r="F155" s="1"/>
      <c r="G155" s="1"/>
      <c r="H155" s="1"/>
      <c r="I155" s="1"/>
      <c r="J155" s="1"/>
      <c r="K155" s="1"/>
      <c r="L155" s="1"/>
      <c r="M155" s="1"/>
      <c r="N155" s="1"/>
      <c r="O155" s="1"/>
      <c r="P155" s="1"/>
      <c r="Q155" s="1"/>
      <c r="R155" s="1"/>
      <c r="S155" s="1"/>
      <c r="T155" s="1"/>
      <c r="U155" s="1"/>
      <c r="V155" s="1"/>
      <c r="W155" s="1"/>
    </row>
    <row r="156" spans="1:23">
      <c r="A156" s="223"/>
      <c r="B156" s="1"/>
      <c r="C156" s="1"/>
      <c r="D156" s="1"/>
      <c r="E156" s="1"/>
      <c r="F156" s="1"/>
      <c r="G156" s="1"/>
      <c r="H156" s="1"/>
      <c r="I156" s="1"/>
      <c r="J156" s="1"/>
      <c r="K156" s="1"/>
      <c r="L156" s="1"/>
      <c r="M156" s="1"/>
      <c r="N156" s="1"/>
      <c r="O156" s="1"/>
      <c r="P156" s="1"/>
      <c r="Q156" s="1"/>
      <c r="R156" s="1"/>
      <c r="S156" s="1"/>
      <c r="T156" s="1"/>
      <c r="U156" s="1"/>
      <c r="V156" s="1"/>
      <c r="W156" s="1"/>
    </row>
    <row r="157" spans="1:23">
      <c r="A157" s="223"/>
      <c r="B157" s="1"/>
      <c r="C157" s="1"/>
      <c r="D157" s="1"/>
      <c r="E157" s="1"/>
      <c r="F157" s="1"/>
      <c r="G157" s="1"/>
      <c r="H157" s="1"/>
      <c r="I157" s="1"/>
      <c r="J157" s="1"/>
      <c r="K157" s="1"/>
      <c r="L157" s="1"/>
      <c r="M157" s="1"/>
      <c r="N157" s="1"/>
      <c r="O157" s="1"/>
      <c r="P157" s="1"/>
      <c r="Q157" s="1"/>
      <c r="R157" s="1"/>
      <c r="S157" s="1"/>
      <c r="T157" s="1"/>
      <c r="U157" s="1"/>
      <c r="V157" s="1"/>
      <c r="W157" s="1"/>
    </row>
    <row r="158" spans="1:23">
      <c r="A158" s="223"/>
      <c r="B158" s="1"/>
      <c r="C158" s="1"/>
      <c r="D158" s="1"/>
      <c r="E158" s="1"/>
      <c r="F158" s="1"/>
      <c r="G158" s="1"/>
      <c r="H158" s="1"/>
      <c r="I158" s="1"/>
      <c r="J158" s="1"/>
      <c r="K158" s="1"/>
      <c r="L158" s="1"/>
      <c r="M158" s="1"/>
      <c r="N158" s="1"/>
      <c r="O158" s="1"/>
      <c r="P158" s="1"/>
      <c r="Q158" s="1"/>
      <c r="R158" s="1"/>
      <c r="S158" s="1"/>
      <c r="T158" s="1"/>
      <c r="U158" s="1"/>
      <c r="V158" s="1"/>
      <c r="W158" s="1"/>
    </row>
    <row r="159" spans="1:23">
      <c r="A159" s="223"/>
      <c r="B159" s="1"/>
      <c r="C159" s="1"/>
      <c r="D159" s="1"/>
      <c r="E159" s="1"/>
      <c r="F159" s="1"/>
      <c r="G159" s="1"/>
      <c r="H159" s="1"/>
      <c r="I159" s="1"/>
      <c r="J159" s="1"/>
      <c r="K159" s="1"/>
      <c r="L159" s="1"/>
      <c r="M159" s="1"/>
      <c r="N159" s="1"/>
      <c r="O159" s="1"/>
      <c r="P159" s="1"/>
      <c r="Q159" s="1"/>
      <c r="R159" s="1"/>
      <c r="S159" s="1"/>
      <c r="T159" s="1"/>
      <c r="U159" s="1"/>
      <c r="V159" s="1"/>
      <c r="W159" s="1"/>
    </row>
    <row r="160" spans="1:23">
      <c r="A160" s="223"/>
      <c r="B160" s="1"/>
      <c r="C160" s="1"/>
      <c r="D160" s="1"/>
      <c r="E160" s="1"/>
      <c r="F160" s="1"/>
      <c r="G160" s="1"/>
      <c r="H160" s="1"/>
      <c r="I160" s="1"/>
      <c r="J160" s="1"/>
      <c r="K160" s="1"/>
      <c r="L160" s="1"/>
      <c r="M160" s="1"/>
      <c r="N160" s="1"/>
      <c r="O160" s="1"/>
      <c r="P160" s="1"/>
      <c r="Q160" s="1"/>
      <c r="R160" s="1"/>
      <c r="S160" s="1"/>
      <c r="T160" s="1"/>
      <c r="U160" s="1"/>
      <c r="V160" s="1"/>
      <c r="W160" s="1"/>
    </row>
    <row r="161" spans="1:23">
      <c r="A161" s="223"/>
      <c r="B161" s="1"/>
      <c r="C161" s="1"/>
      <c r="D161" s="1"/>
      <c r="E161" s="1"/>
      <c r="F161" s="1"/>
      <c r="G161" s="1"/>
      <c r="H161" s="1"/>
      <c r="I161" s="1"/>
      <c r="J161" s="1"/>
      <c r="K161" s="1"/>
      <c r="L161" s="1"/>
      <c r="M161" s="1"/>
      <c r="N161" s="1"/>
      <c r="O161" s="1"/>
      <c r="P161" s="1"/>
      <c r="Q161" s="1"/>
      <c r="R161" s="1"/>
      <c r="S161" s="1"/>
      <c r="T161" s="1"/>
      <c r="U161" s="1"/>
      <c r="V161" s="1"/>
      <c r="W161" s="1"/>
    </row>
    <row r="162" spans="1:23">
      <c r="A162" s="223"/>
      <c r="B162" s="1"/>
      <c r="C162" s="1"/>
      <c r="D162" s="1"/>
      <c r="E162" s="1"/>
      <c r="F162" s="1"/>
      <c r="G162" s="1"/>
      <c r="H162" s="1"/>
      <c r="I162" s="1"/>
      <c r="J162" s="1"/>
      <c r="K162" s="1"/>
      <c r="L162" s="1"/>
      <c r="M162" s="1"/>
      <c r="N162" s="1"/>
      <c r="O162" s="1"/>
      <c r="P162" s="1"/>
      <c r="Q162" s="1"/>
      <c r="R162" s="1"/>
      <c r="S162" s="1"/>
      <c r="T162" s="1"/>
      <c r="U162" s="1"/>
      <c r="V162" s="1"/>
      <c r="W162" s="1"/>
    </row>
    <row r="163" spans="1:23">
      <c r="A163" s="223"/>
      <c r="B163" s="1"/>
      <c r="C163" s="1"/>
      <c r="D163" s="1"/>
      <c r="E163" s="1"/>
      <c r="F163" s="1"/>
      <c r="G163" s="1"/>
      <c r="H163" s="1"/>
      <c r="I163" s="1"/>
      <c r="J163" s="1"/>
      <c r="K163" s="1"/>
      <c r="L163" s="1"/>
      <c r="M163" s="1"/>
      <c r="N163" s="1"/>
      <c r="O163" s="1"/>
      <c r="P163" s="1"/>
      <c r="Q163" s="1"/>
      <c r="R163" s="1"/>
      <c r="S163" s="1"/>
      <c r="T163" s="1"/>
      <c r="U163" s="1"/>
      <c r="V163" s="1"/>
      <c r="W163" s="1"/>
    </row>
    <row r="164" spans="1:23">
      <c r="A164" s="223"/>
      <c r="B164" s="1"/>
      <c r="C164" s="1"/>
      <c r="D164" s="1"/>
      <c r="E164" s="1"/>
      <c r="F164" s="1"/>
      <c r="G164" s="1"/>
      <c r="H164" s="1"/>
      <c r="I164" s="1"/>
      <c r="J164" s="1"/>
      <c r="K164" s="1"/>
      <c r="L164" s="1"/>
      <c r="M164" s="1"/>
      <c r="N164" s="1"/>
      <c r="O164" s="1"/>
      <c r="P164" s="1"/>
      <c r="Q164" s="1"/>
      <c r="R164" s="1"/>
      <c r="S164" s="1"/>
      <c r="T164" s="1"/>
      <c r="U164" s="1"/>
      <c r="V164" s="1"/>
      <c r="W164" s="1"/>
    </row>
    <row r="165" spans="1:23">
      <c r="A165" s="223"/>
      <c r="B165" s="1"/>
      <c r="C165" s="1"/>
      <c r="D165" s="1"/>
      <c r="E165" s="1"/>
      <c r="F165" s="1"/>
      <c r="G165" s="1"/>
      <c r="H165" s="1"/>
      <c r="I165" s="1"/>
      <c r="J165" s="1"/>
      <c r="K165" s="1"/>
      <c r="L165" s="1"/>
      <c r="M165" s="1"/>
      <c r="N165" s="1"/>
      <c r="O165" s="1"/>
      <c r="P165" s="1"/>
      <c r="Q165" s="1"/>
      <c r="R165" s="1"/>
      <c r="S165" s="1"/>
      <c r="T165" s="1"/>
      <c r="U165" s="1"/>
      <c r="V165" s="1"/>
      <c r="W165" s="1"/>
    </row>
    <row r="166" spans="1:23">
      <c r="A166" s="223"/>
      <c r="B166" s="1"/>
      <c r="C166" s="1"/>
      <c r="D166" s="1"/>
      <c r="E166" s="1"/>
      <c r="F166" s="1"/>
      <c r="G166" s="1"/>
      <c r="H166" s="1"/>
      <c r="I166" s="1"/>
      <c r="J166" s="1"/>
      <c r="K166" s="1"/>
      <c r="L166" s="1"/>
      <c r="M166" s="1"/>
      <c r="N166" s="1"/>
      <c r="O166" s="1"/>
      <c r="P166" s="1"/>
      <c r="Q166" s="1"/>
      <c r="R166" s="1"/>
      <c r="S166" s="1"/>
      <c r="T166" s="1"/>
      <c r="U166" s="1"/>
      <c r="V166" s="1"/>
      <c r="W166" s="1"/>
    </row>
    <row r="167" spans="1:23">
      <c r="A167" s="223"/>
      <c r="B167" s="1"/>
      <c r="C167" s="1"/>
      <c r="D167" s="1"/>
      <c r="E167" s="1"/>
      <c r="F167" s="1"/>
      <c r="G167" s="1"/>
      <c r="H167" s="1"/>
      <c r="I167" s="1"/>
      <c r="J167" s="1"/>
      <c r="K167" s="1"/>
      <c r="L167" s="1"/>
      <c r="M167" s="1"/>
      <c r="N167" s="1"/>
      <c r="O167" s="1"/>
      <c r="P167" s="1"/>
      <c r="Q167" s="1"/>
      <c r="R167" s="1"/>
      <c r="S167" s="1"/>
      <c r="T167" s="1"/>
      <c r="U167" s="1"/>
      <c r="V167" s="1"/>
      <c r="W167" s="1"/>
    </row>
    <row r="168" spans="1:23">
      <c r="A168" s="223"/>
      <c r="B168" s="1"/>
      <c r="C168" s="1"/>
      <c r="D168" s="1"/>
      <c r="E168" s="1"/>
      <c r="F168" s="1"/>
      <c r="G168" s="1"/>
      <c r="H168" s="1"/>
      <c r="I168" s="1"/>
      <c r="J168" s="1"/>
      <c r="K168" s="1"/>
      <c r="L168" s="1"/>
      <c r="M168" s="1"/>
      <c r="N168" s="1"/>
      <c r="O168" s="1"/>
      <c r="P168" s="1"/>
      <c r="Q168" s="1"/>
      <c r="R168" s="1"/>
      <c r="S168" s="1"/>
      <c r="T168" s="1"/>
      <c r="U168" s="1"/>
      <c r="V168" s="1"/>
      <c r="W168" s="1"/>
    </row>
    <row r="169" spans="1:23">
      <c r="A169" s="223"/>
      <c r="B169" s="1"/>
      <c r="C169" s="1"/>
      <c r="D169" s="1"/>
      <c r="E169" s="1"/>
      <c r="F169" s="1"/>
      <c r="G169" s="1"/>
      <c r="H169" s="1"/>
      <c r="I169" s="1"/>
      <c r="J169" s="1"/>
      <c r="K169" s="1"/>
      <c r="L169" s="1"/>
      <c r="M169" s="1"/>
      <c r="N169" s="1"/>
      <c r="O169" s="1"/>
      <c r="P169" s="1"/>
      <c r="Q169" s="1"/>
      <c r="R169" s="1"/>
      <c r="S169" s="1"/>
      <c r="T169" s="1"/>
      <c r="U169" s="1"/>
      <c r="V169" s="1"/>
      <c r="W169" s="1"/>
    </row>
    <row r="170" spans="1:23">
      <c r="A170" s="223"/>
      <c r="B170" s="1"/>
      <c r="C170" s="1"/>
      <c r="D170" s="1"/>
      <c r="E170" s="1"/>
      <c r="F170" s="1"/>
      <c r="G170" s="1"/>
      <c r="H170" s="1"/>
      <c r="I170" s="1"/>
      <c r="J170" s="1"/>
      <c r="K170" s="1"/>
      <c r="L170" s="1"/>
      <c r="M170" s="1"/>
      <c r="N170" s="1"/>
      <c r="O170" s="1"/>
      <c r="P170" s="1"/>
      <c r="Q170" s="1"/>
      <c r="R170" s="1"/>
      <c r="S170" s="1"/>
      <c r="T170" s="1"/>
      <c r="U170" s="1"/>
      <c r="V170" s="1"/>
      <c r="W170" s="1"/>
    </row>
    <row r="171" spans="1:23">
      <c r="A171" s="223"/>
      <c r="B171" s="1"/>
      <c r="C171" s="1"/>
      <c r="D171" s="1"/>
      <c r="E171" s="1"/>
      <c r="F171" s="1"/>
      <c r="G171" s="1"/>
      <c r="H171" s="1"/>
      <c r="I171" s="1"/>
      <c r="J171" s="1"/>
      <c r="K171" s="1"/>
      <c r="L171" s="1"/>
      <c r="M171" s="1"/>
      <c r="N171" s="1"/>
      <c r="O171" s="1"/>
      <c r="P171" s="1"/>
      <c r="Q171" s="1"/>
      <c r="R171" s="1"/>
      <c r="S171" s="1"/>
      <c r="T171" s="1"/>
      <c r="U171" s="1"/>
      <c r="V171" s="1"/>
      <c r="W171" s="1"/>
    </row>
    <row r="172" spans="1:23">
      <c r="A172" s="223"/>
      <c r="B172" s="1"/>
      <c r="C172" s="1"/>
      <c r="D172" s="1"/>
      <c r="E172" s="1"/>
      <c r="F172" s="1"/>
      <c r="G172" s="1"/>
      <c r="H172" s="1"/>
      <c r="I172" s="1"/>
      <c r="J172" s="1"/>
      <c r="K172" s="1"/>
      <c r="L172" s="1"/>
      <c r="M172" s="1"/>
      <c r="N172" s="1"/>
      <c r="O172" s="1"/>
      <c r="P172" s="1"/>
      <c r="Q172" s="1"/>
      <c r="R172" s="1"/>
      <c r="S172" s="1"/>
      <c r="T172" s="1"/>
      <c r="U172" s="1"/>
      <c r="V172" s="1"/>
      <c r="W172" s="1"/>
    </row>
    <row r="173" spans="1:23">
      <c r="A173" s="223"/>
      <c r="B173" s="1"/>
      <c r="C173" s="1"/>
      <c r="D173" s="1"/>
      <c r="E173" s="1"/>
      <c r="F173" s="1"/>
      <c r="G173" s="1"/>
      <c r="H173" s="1"/>
      <c r="I173" s="1"/>
      <c r="J173" s="1"/>
      <c r="K173" s="1"/>
      <c r="L173" s="1"/>
      <c r="M173" s="1"/>
      <c r="N173" s="1"/>
      <c r="O173" s="1"/>
      <c r="P173" s="1"/>
      <c r="Q173" s="1"/>
      <c r="R173" s="1"/>
      <c r="S173" s="1"/>
      <c r="T173" s="1"/>
      <c r="U173" s="1"/>
      <c r="V173" s="1"/>
      <c r="W173" s="1"/>
    </row>
    <row r="174" spans="1:23">
      <c r="A174" s="223"/>
      <c r="B174" s="1"/>
      <c r="C174" s="1"/>
      <c r="D174" s="1"/>
      <c r="E174" s="1"/>
      <c r="F174" s="1"/>
      <c r="G174" s="1"/>
      <c r="H174" s="1"/>
      <c r="I174" s="1"/>
      <c r="J174" s="1"/>
      <c r="K174" s="1"/>
      <c r="L174" s="1"/>
      <c r="M174" s="1"/>
      <c r="N174" s="1"/>
      <c r="O174" s="1"/>
      <c r="P174" s="1"/>
      <c r="Q174" s="1"/>
      <c r="R174" s="1"/>
      <c r="S174" s="1"/>
      <c r="T174" s="1"/>
      <c r="U174" s="1"/>
      <c r="V174" s="1"/>
      <c r="W174" s="1"/>
    </row>
    <row r="175" spans="1:23">
      <c r="A175" s="223"/>
      <c r="B175" s="1"/>
      <c r="C175" s="1"/>
      <c r="D175" s="1"/>
      <c r="E175" s="1"/>
      <c r="F175" s="1"/>
      <c r="G175" s="1"/>
      <c r="H175" s="1"/>
      <c r="I175" s="1"/>
      <c r="J175" s="1"/>
      <c r="K175" s="1"/>
      <c r="L175" s="1"/>
      <c r="M175" s="1"/>
      <c r="N175" s="1"/>
      <c r="O175" s="1"/>
      <c r="P175" s="1"/>
      <c r="Q175" s="1"/>
      <c r="R175" s="1"/>
      <c r="S175" s="1"/>
      <c r="T175" s="1"/>
      <c r="U175" s="1"/>
      <c r="V175" s="1"/>
      <c r="W175" s="1"/>
    </row>
    <row r="176" spans="1:23">
      <c r="A176" s="223"/>
      <c r="B176" s="1"/>
      <c r="C176" s="1"/>
      <c r="D176" s="1"/>
      <c r="E176" s="1"/>
      <c r="F176" s="1"/>
      <c r="G176" s="1"/>
      <c r="H176" s="1"/>
      <c r="I176" s="1"/>
      <c r="J176" s="1"/>
      <c r="K176" s="1"/>
      <c r="L176" s="1"/>
      <c r="M176" s="1"/>
      <c r="N176" s="1"/>
      <c r="O176" s="1"/>
      <c r="P176" s="1"/>
      <c r="Q176" s="1"/>
      <c r="R176" s="1"/>
      <c r="S176" s="1"/>
      <c r="T176" s="1"/>
      <c r="U176" s="1"/>
      <c r="V176" s="1"/>
      <c r="W176" s="1"/>
    </row>
    <row r="177" spans="1:23">
      <c r="A177" s="223"/>
      <c r="B177" s="1"/>
      <c r="C177" s="1"/>
      <c r="D177" s="1"/>
      <c r="E177" s="1"/>
      <c r="F177" s="1"/>
      <c r="G177" s="1"/>
      <c r="H177" s="1"/>
      <c r="I177" s="1"/>
      <c r="J177" s="1"/>
      <c r="K177" s="1"/>
      <c r="L177" s="1"/>
      <c r="M177" s="1"/>
      <c r="N177" s="1"/>
      <c r="O177" s="1"/>
      <c r="P177" s="1"/>
      <c r="Q177" s="1"/>
      <c r="R177" s="1"/>
      <c r="S177" s="1"/>
      <c r="T177" s="1"/>
      <c r="U177" s="1"/>
      <c r="V177" s="1"/>
      <c r="W177" s="1"/>
    </row>
    <row r="178" spans="1:23">
      <c r="A178" s="223"/>
      <c r="B178" s="1"/>
      <c r="C178" s="1"/>
      <c r="D178" s="1"/>
      <c r="E178" s="1"/>
      <c r="F178" s="1"/>
      <c r="G178" s="1"/>
      <c r="H178" s="1"/>
      <c r="I178" s="1"/>
      <c r="J178" s="1"/>
      <c r="K178" s="1"/>
      <c r="L178" s="1"/>
      <c r="M178" s="1"/>
      <c r="N178" s="1"/>
      <c r="O178" s="1"/>
      <c r="P178" s="1"/>
      <c r="Q178" s="1"/>
      <c r="R178" s="1"/>
      <c r="S178" s="1"/>
      <c r="T178" s="1"/>
      <c r="U178" s="1"/>
      <c r="V178" s="1"/>
      <c r="W178" s="1"/>
    </row>
    <row r="179" spans="1:23">
      <c r="A179" s="223"/>
      <c r="B179" s="1"/>
      <c r="C179" s="1"/>
      <c r="D179" s="1"/>
      <c r="E179" s="1"/>
      <c r="F179" s="1"/>
      <c r="G179" s="1"/>
      <c r="H179" s="1"/>
      <c r="I179" s="1"/>
      <c r="J179" s="1"/>
      <c r="K179" s="1"/>
      <c r="L179" s="1"/>
      <c r="M179" s="1"/>
      <c r="N179" s="1"/>
      <c r="O179" s="1"/>
      <c r="P179" s="1"/>
      <c r="Q179" s="1"/>
      <c r="R179" s="1"/>
      <c r="S179" s="1"/>
      <c r="T179" s="1"/>
      <c r="U179" s="1"/>
      <c r="V179" s="1"/>
      <c r="W179" s="1"/>
    </row>
    <row r="180" spans="1:23">
      <c r="A180" s="223"/>
      <c r="B180" s="1"/>
      <c r="C180" s="1"/>
      <c r="D180" s="1"/>
      <c r="E180" s="1"/>
      <c r="F180" s="1"/>
      <c r="G180" s="1"/>
      <c r="H180" s="1"/>
      <c r="I180" s="1"/>
      <c r="J180" s="1"/>
      <c r="K180" s="1"/>
      <c r="L180" s="1"/>
      <c r="M180" s="1"/>
      <c r="N180" s="1"/>
      <c r="O180" s="1"/>
      <c r="P180" s="1"/>
      <c r="Q180" s="1"/>
      <c r="R180" s="1"/>
      <c r="S180" s="1"/>
      <c r="T180" s="1"/>
      <c r="U180" s="1"/>
      <c r="V180" s="1"/>
      <c r="W180" s="1"/>
    </row>
    <row r="181" spans="1:23">
      <c r="A181" s="223"/>
      <c r="B181" s="1"/>
      <c r="C181" s="1"/>
      <c r="D181" s="1"/>
      <c r="E181" s="1"/>
      <c r="F181" s="1"/>
      <c r="G181" s="1"/>
      <c r="H181" s="1"/>
      <c r="I181" s="1"/>
      <c r="J181" s="1"/>
      <c r="K181" s="1"/>
      <c r="L181" s="1"/>
      <c r="M181" s="1"/>
      <c r="N181" s="1"/>
      <c r="O181" s="1"/>
      <c r="P181" s="1"/>
      <c r="Q181" s="1"/>
      <c r="R181" s="1"/>
      <c r="S181" s="1"/>
      <c r="T181" s="1"/>
      <c r="U181" s="1"/>
      <c r="V181" s="1"/>
      <c r="W181" s="1"/>
    </row>
    <row r="182" spans="1:23">
      <c r="A182" s="223"/>
      <c r="B182" s="1"/>
      <c r="C182" s="1"/>
      <c r="D182" s="1"/>
      <c r="E182" s="1"/>
      <c r="F182" s="1"/>
      <c r="G182" s="1"/>
      <c r="H182" s="1"/>
      <c r="I182" s="1"/>
      <c r="J182" s="1"/>
      <c r="K182" s="1"/>
      <c r="L182" s="1"/>
      <c r="M182" s="1"/>
      <c r="N182" s="1"/>
      <c r="O182" s="1"/>
      <c r="P182" s="1"/>
      <c r="Q182" s="1"/>
      <c r="R182" s="1"/>
      <c r="S182" s="1"/>
      <c r="T182" s="1"/>
      <c r="U182" s="1"/>
      <c r="V182" s="1"/>
      <c r="W182" s="1"/>
    </row>
    <row r="183" spans="1:23">
      <c r="A183" s="223"/>
      <c r="B183" s="1"/>
      <c r="C183" s="1"/>
      <c r="D183" s="1"/>
      <c r="E183" s="1"/>
      <c r="F183" s="1"/>
      <c r="G183" s="1"/>
      <c r="H183" s="1"/>
      <c r="I183" s="1"/>
      <c r="J183" s="1"/>
      <c r="K183" s="1"/>
      <c r="L183" s="1"/>
      <c r="M183" s="1"/>
      <c r="N183" s="1"/>
      <c r="O183" s="1"/>
      <c r="P183" s="1"/>
      <c r="Q183" s="1"/>
      <c r="R183" s="1"/>
      <c r="S183" s="1"/>
      <c r="T183" s="1"/>
      <c r="U183" s="1"/>
      <c r="V183" s="1"/>
      <c r="W183" s="1"/>
    </row>
    <row r="184" spans="1:23">
      <c r="A184" s="223"/>
      <c r="B184" s="1"/>
      <c r="C184" s="1"/>
      <c r="D184" s="1"/>
      <c r="E184" s="1"/>
      <c r="F184" s="1"/>
      <c r="G184" s="1"/>
      <c r="H184" s="1"/>
      <c r="I184" s="1"/>
      <c r="J184" s="1"/>
      <c r="K184" s="1"/>
      <c r="L184" s="1"/>
      <c r="M184" s="1"/>
      <c r="N184" s="1"/>
      <c r="O184" s="1"/>
      <c r="P184" s="1"/>
      <c r="Q184" s="1"/>
      <c r="R184" s="1"/>
      <c r="S184" s="1"/>
      <c r="T184" s="1"/>
      <c r="U184" s="1"/>
      <c r="V184" s="1"/>
      <c r="W184" s="1"/>
    </row>
    <row r="185" spans="1:23">
      <c r="A185" s="223"/>
      <c r="B185" s="1"/>
      <c r="C185" s="1"/>
      <c r="D185" s="1"/>
      <c r="E185" s="1"/>
      <c r="F185" s="1"/>
      <c r="G185" s="1"/>
      <c r="H185" s="1"/>
      <c r="I185" s="1"/>
      <c r="J185" s="1"/>
      <c r="K185" s="1"/>
      <c r="L185" s="1"/>
      <c r="M185" s="1"/>
      <c r="N185" s="1"/>
      <c r="O185" s="1"/>
      <c r="P185" s="1"/>
      <c r="Q185" s="1"/>
      <c r="R185" s="1"/>
      <c r="S185" s="1"/>
      <c r="T185" s="1"/>
      <c r="U185" s="1"/>
      <c r="V185" s="1"/>
      <c r="W185" s="1"/>
    </row>
    <row r="186" spans="1:23">
      <c r="A186" s="223"/>
      <c r="B186" s="1"/>
      <c r="C186" s="1"/>
      <c r="D186" s="1"/>
      <c r="E186" s="1"/>
      <c r="F186" s="1"/>
      <c r="G186" s="1"/>
      <c r="H186" s="1"/>
      <c r="I186" s="1"/>
      <c r="J186" s="1"/>
      <c r="K186" s="1"/>
      <c r="L186" s="1"/>
      <c r="M186" s="1"/>
      <c r="N186" s="1"/>
      <c r="O186" s="1"/>
      <c r="P186" s="1"/>
      <c r="Q186" s="1"/>
      <c r="R186" s="1"/>
      <c r="S186" s="1"/>
      <c r="T186" s="1"/>
      <c r="U186" s="1"/>
      <c r="V186" s="1"/>
      <c r="W186" s="1"/>
    </row>
    <row r="187" spans="1:23">
      <c r="A187" s="223"/>
      <c r="B187" s="1"/>
      <c r="C187" s="1"/>
      <c r="D187" s="1"/>
      <c r="E187" s="1"/>
      <c r="F187" s="1"/>
      <c r="G187" s="1"/>
      <c r="H187" s="1"/>
      <c r="I187" s="1"/>
      <c r="J187" s="1"/>
      <c r="K187" s="1"/>
      <c r="L187" s="1"/>
      <c r="M187" s="1"/>
      <c r="N187" s="1"/>
      <c r="O187" s="1"/>
      <c r="P187" s="1"/>
      <c r="Q187" s="1"/>
      <c r="R187" s="1"/>
      <c r="S187" s="1"/>
      <c r="T187" s="1"/>
      <c r="U187" s="1"/>
      <c r="V187" s="1"/>
      <c r="W187" s="1"/>
    </row>
    <row r="188" spans="1:23">
      <c r="A188" s="223"/>
      <c r="B188" s="1"/>
      <c r="C188" s="1"/>
      <c r="D188" s="1"/>
      <c r="E188" s="1"/>
      <c r="F188" s="1"/>
      <c r="G188" s="1"/>
      <c r="H188" s="1"/>
      <c r="I188" s="1"/>
      <c r="J188" s="1"/>
      <c r="K188" s="1"/>
      <c r="L188" s="1"/>
      <c r="M188" s="1"/>
      <c r="N188" s="1"/>
      <c r="O188" s="1"/>
      <c r="P188" s="1"/>
      <c r="Q188" s="1"/>
      <c r="R188" s="1"/>
      <c r="S188" s="1"/>
      <c r="T188" s="1"/>
      <c r="U188" s="1"/>
      <c r="V188" s="1"/>
      <c r="W188" s="1"/>
    </row>
    <row r="189" spans="1:23">
      <c r="A189" s="223"/>
      <c r="B189" s="1"/>
      <c r="C189" s="1"/>
      <c r="D189" s="1"/>
      <c r="E189" s="1"/>
      <c r="F189" s="1"/>
      <c r="G189" s="1"/>
      <c r="H189" s="1"/>
      <c r="I189" s="1"/>
      <c r="J189" s="1"/>
      <c r="K189" s="1"/>
      <c r="L189" s="1"/>
      <c r="M189" s="1"/>
      <c r="N189" s="1"/>
      <c r="O189" s="1"/>
      <c r="P189" s="1"/>
      <c r="Q189" s="1"/>
      <c r="R189" s="1"/>
      <c r="S189" s="1"/>
      <c r="T189" s="1"/>
      <c r="U189" s="1"/>
      <c r="V189" s="1"/>
      <c r="W189" s="1"/>
    </row>
    <row r="190" spans="1:23">
      <c r="A190" s="223"/>
      <c r="B190" s="1"/>
      <c r="C190" s="1"/>
      <c r="D190" s="1"/>
      <c r="E190" s="1"/>
      <c r="F190" s="1"/>
      <c r="G190" s="1"/>
      <c r="H190" s="1"/>
      <c r="I190" s="1"/>
      <c r="J190" s="1"/>
      <c r="K190" s="1"/>
      <c r="L190" s="1"/>
      <c r="M190" s="1"/>
      <c r="N190" s="1"/>
      <c r="O190" s="1"/>
      <c r="P190" s="1"/>
      <c r="Q190" s="1"/>
      <c r="R190" s="1"/>
      <c r="S190" s="1"/>
      <c r="T190" s="1"/>
      <c r="U190" s="1"/>
      <c r="V190" s="1"/>
      <c r="W190" s="1"/>
    </row>
    <row r="191" spans="1:23">
      <c r="A191" s="223"/>
      <c r="B191" s="1"/>
      <c r="C191" s="1"/>
      <c r="D191" s="1"/>
      <c r="E191" s="1"/>
      <c r="F191" s="1"/>
      <c r="G191" s="1"/>
      <c r="H191" s="1"/>
      <c r="I191" s="1"/>
      <c r="J191" s="1"/>
      <c r="K191" s="1"/>
      <c r="L191" s="1"/>
      <c r="M191" s="1"/>
      <c r="N191" s="1"/>
      <c r="O191" s="1"/>
      <c r="P191" s="1"/>
      <c r="Q191" s="1"/>
      <c r="R191" s="1"/>
      <c r="S191" s="1"/>
      <c r="T191" s="1"/>
      <c r="U191" s="1"/>
      <c r="V191" s="1"/>
      <c r="W191" s="1"/>
    </row>
    <row r="192" spans="1:23">
      <c r="A192" s="223"/>
      <c r="B192" s="1"/>
      <c r="C192" s="1"/>
      <c r="D192" s="1"/>
      <c r="E192" s="1"/>
      <c r="F192" s="1"/>
      <c r="G192" s="1"/>
      <c r="H192" s="1"/>
      <c r="I192" s="1"/>
      <c r="J192" s="1"/>
      <c r="K192" s="1"/>
      <c r="L192" s="1"/>
      <c r="M192" s="1"/>
      <c r="N192" s="1"/>
      <c r="O192" s="1"/>
      <c r="P192" s="1"/>
      <c r="Q192" s="1"/>
      <c r="R192" s="1"/>
      <c r="S192" s="1"/>
      <c r="T192" s="1"/>
      <c r="U192" s="1"/>
      <c r="V192" s="1"/>
      <c r="W192" s="1"/>
    </row>
    <row r="193" spans="1:23">
      <c r="A193" s="223"/>
      <c r="B193" s="1"/>
      <c r="C193" s="1"/>
      <c r="D193" s="1"/>
      <c r="E193" s="1"/>
      <c r="F193" s="1"/>
      <c r="G193" s="1"/>
      <c r="H193" s="1"/>
      <c r="I193" s="1"/>
      <c r="J193" s="1"/>
      <c r="K193" s="1"/>
      <c r="L193" s="1"/>
      <c r="M193" s="1"/>
      <c r="N193" s="1"/>
      <c r="O193" s="1"/>
      <c r="P193" s="1"/>
      <c r="Q193" s="1"/>
      <c r="R193" s="1"/>
      <c r="S193" s="1"/>
      <c r="T193" s="1"/>
      <c r="U193" s="1"/>
      <c r="V193" s="1"/>
      <c r="W193" s="1"/>
    </row>
    <row r="194" spans="1:23">
      <c r="A194" s="223"/>
      <c r="B194" s="1"/>
      <c r="C194" s="1"/>
      <c r="D194" s="1"/>
      <c r="E194" s="1"/>
      <c r="F194" s="1"/>
      <c r="G194" s="1"/>
      <c r="H194" s="1"/>
      <c r="I194" s="1"/>
      <c r="J194" s="1"/>
      <c r="K194" s="1"/>
      <c r="L194" s="1"/>
      <c r="M194" s="1"/>
      <c r="N194" s="1"/>
      <c r="O194" s="1"/>
      <c r="P194" s="1"/>
      <c r="Q194" s="1"/>
      <c r="R194" s="1"/>
      <c r="S194" s="1"/>
      <c r="T194" s="1"/>
      <c r="U194" s="1"/>
      <c r="V194" s="1"/>
      <c r="W194" s="1"/>
    </row>
    <row r="195" spans="1:23">
      <c r="A195" s="223"/>
      <c r="B195" s="1"/>
      <c r="C195" s="1"/>
      <c r="D195" s="1"/>
      <c r="E195" s="1"/>
      <c r="F195" s="1"/>
      <c r="G195" s="1"/>
      <c r="H195" s="1"/>
      <c r="I195" s="1"/>
      <c r="J195" s="1"/>
      <c r="K195" s="1"/>
      <c r="L195" s="1"/>
      <c r="M195" s="1"/>
      <c r="N195" s="1"/>
      <c r="O195" s="1"/>
      <c r="P195" s="1"/>
      <c r="Q195" s="1"/>
      <c r="R195" s="1"/>
      <c r="S195" s="1"/>
      <c r="T195" s="1"/>
      <c r="U195" s="1"/>
      <c r="V195" s="1"/>
      <c r="W195" s="1"/>
    </row>
    <row r="196" spans="1:23">
      <c r="A196" s="223"/>
      <c r="B196" s="1"/>
      <c r="C196" s="1"/>
      <c r="D196" s="1"/>
      <c r="E196" s="1"/>
      <c r="F196" s="1"/>
      <c r="G196" s="1"/>
      <c r="H196" s="1"/>
      <c r="I196" s="1"/>
      <c r="J196" s="1"/>
      <c r="K196" s="1"/>
      <c r="L196" s="1"/>
      <c r="M196" s="1"/>
      <c r="N196" s="1"/>
      <c r="O196" s="1"/>
      <c r="P196" s="1"/>
      <c r="Q196" s="1"/>
      <c r="R196" s="1"/>
      <c r="S196" s="1"/>
      <c r="T196" s="1"/>
      <c r="U196" s="1"/>
      <c r="V196" s="1"/>
      <c r="W196" s="1"/>
    </row>
    <row r="197" spans="1:23">
      <c r="A197" s="223"/>
      <c r="B197" s="1"/>
      <c r="C197" s="1"/>
      <c r="D197" s="1"/>
      <c r="E197" s="1"/>
      <c r="F197" s="1"/>
      <c r="G197" s="1"/>
      <c r="H197" s="1"/>
      <c r="I197" s="1"/>
      <c r="J197" s="1"/>
      <c r="K197" s="1"/>
      <c r="L197" s="1"/>
      <c r="M197" s="1"/>
      <c r="N197" s="1"/>
      <c r="O197" s="1"/>
      <c r="P197" s="1"/>
      <c r="Q197" s="1"/>
      <c r="R197" s="1"/>
      <c r="S197" s="1"/>
      <c r="T197" s="1"/>
      <c r="U197" s="1"/>
      <c r="V197" s="1"/>
      <c r="W197" s="1"/>
    </row>
    <row r="198" spans="1:23">
      <c r="A198" s="223"/>
      <c r="B198" s="1"/>
      <c r="C198" s="1"/>
      <c r="D198" s="1"/>
      <c r="E198" s="1"/>
      <c r="F198" s="1"/>
      <c r="G198" s="1"/>
      <c r="H198" s="1"/>
      <c r="I198" s="1"/>
      <c r="J198" s="1"/>
      <c r="K198" s="1"/>
      <c r="L198" s="1"/>
      <c r="M198" s="1"/>
      <c r="N198" s="1"/>
      <c r="O198" s="1"/>
      <c r="P198" s="1"/>
      <c r="Q198" s="1"/>
      <c r="R198" s="1"/>
      <c r="S198" s="1"/>
      <c r="T198" s="1"/>
      <c r="U198" s="1"/>
      <c r="V198" s="1"/>
      <c r="W198" s="1"/>
    </row>
    <row r="199" spans="1:23">
      <c r="A199" s="223"/>
      <c r="B199" s="1"/>
      <c r="C199" s="1"/>
      <c r="D199" s="1"/>
      <c r="E199" s="1"/>
      <c r="F199" s="1"/>
      <c r="G199" s="1"/>
      <c r="H199" s="1"/>
      <c r="I199" s="1"/>
      <c r="J199" s="1"/>
      <c r="K199" s="1"/>
      <c r="L199" s="1"/>
      <c r="M199" s="1"/>
      <c r="N199" s="1"/>
      <c r="O199" s="1"/>
      <c r="P199" s="1"/>
      <c r="Q199" s="1"/>
      <c r="R199" s="1"/>
      <c r="S199" s="1"/>
      <c r="T199" s="1"/>
      <c r="U199" s="1"/>
      <c r="V199" s="1"/>
      <c r="W199" s="1"/>
    </row>
    <row r="200" spans="1:23">
      <c r="A200" s="223"/>
      <c r="B200" s="1"/>
      <c r="C200" s="1"/>
      <c r="D200" s="1"/>
      <c r="E200" s="1"/>
      <c r="F200" s="1"/>
      <c r="G200" s="1"/>
      <c r="H200" s="1"/>
      <c r="I200" s="1"/>
      <c r="J200" s="1"/>
      <c r="K200" s="1"/>
      <c r="L200" s="1"/>
      <c r="M200" s="1"/>
      <c r="N200" s="1"/>
      <c r="O200" s="1"/>
      <c r="P200" s="1"/>
      <c r="Q200" s="1"/>
      <c r="R200" s="1"/>
      <c r="S200" s="1"/>
      <c r="T200" s="1"/>
      <c r="U200" s="1"/>
      <c r="V200" s="1"/>
      <c r="W200" s="1"/>
    </row>
    <row r="201" spans="1:23">
      <c r="A201" s="223"/>
      <c r="B201" s="1"/>
      <c r="C201" s="1"/>
      <c r="D201" s="1"/>
      <c r="E201" s="1"/>
      <c r="F201" s="1"/>
      <c r="G201" s="1"/>
      <c r="H201" s="1"/>
      <c r="I201" s="1"/>
      <c r="J201" s="1"/>
      <c r="K201" s="1"/>
      <c r="L201" s="1"/>
      <c r="M201" s="1"/>
      <c r="N201" s="1"/>
      <c r="O201" s="1"/>
      <c r="P201" s="1"/>
      <c r="Q201" s="1"/>
      <c r="R201" s="1"/>
      <c r="S201" s="1"/>
      <c r="T201" s="1"/>
      <c r="U201" s="1"/>
      <c r="V201" s="1"/>
      <c r="W201" s="1"/>
    </row>
    <row r="202" spans="1:23">
      <c r="A202" s="223"/>
      <c r="B202" s="1"/>
      <c r="C202" s="1"/>
      <c r="D202" s="1"/>
      <c r="E202" s="1"/>
      <c r="F202" s="1"/>
      <c r="G202" s="1"/>
      <c r="H202" s="1"/>
      <c r="I202" s="1"/>
      <c r="J202" s="1"/>
      <c r="K202" s="1"/>
      <c r="L202" s="1"/>
      <c r="M202" s="1"/>
      <c r="N202" s="1"/>
      <c r="O202" s="1"/>
      <c r="P202" s="1"/>
      <c r="Q202" s="1"/>
      <c r="R202" s="1"/>
      <c r="S202" s="1"/>
      <c r="T202" s="1"/>
      <c r="U202" s="1"/>
      <c r="V202" s="1"/>
      <c r="W202" s="1"/>
    </row>
    <row r="203" spans="1:23">
      <c r="A203" s="223"/>
      <c r="B203" s="1"/>
      <c r="C203" s="1"/>
      <c r="D203" s="1"/>
      <c r="E203" s="1"/>
      <c r="F203" s="1"/>
      <c r="G203" s="1"/>
      <c r="H203" s="1"/>
      <c r="I203" s="1"/>
      <c r="J203" s="1"/>
      <c r="K203" s="1"/>
      <c r="L203" s="1"/>
      <c r="M203" s="1"/>
      <c r="N203" s="1"/>
      <c r="O203" s="1"/>
      <c r="P203" s="1"/>
      <c r="Q203" s="1"/>
      <c r="R203" s="1"/>
      <c r="S203" s="1"/>
      <c r="T203" s="1"/>
      <c r="U203" s="1"/>
      <c r="V203" s="1"/>
      <c r="W203" s="1"/>
    </row>
    <row r="204" spans="1:23">
      <c r="A204" s="223"/>
      <c r="B204" s="1"/>
      <c r="C204" s="1"/>
      <c r="D204" s="1"/>
      <c r="E204" s="1"/>
      <c r="F204" s="1"/>
      <c r="G204" s="1"/>
      <c r="H204" s="1"/>
      <c r="I204" s="1"/>
      <c r="J204" s="1"/>
      <c r="K204" s="1"/>
      <c r="L204" s="1"/>
      <c r="M204" s="1"/>
      <c r="N204" s="1"/>
      <c r="O204" s="1"/>
      <c r="P204" s="1"/>
      <c r="Q204" s="1"/>
      <c r="R204" s="1"/>
      <c r="S204" s="1"/>
      <c r="T204" s="1"/>
      <c r="U204" s="1"/>
      <c r="V204" s="1"/>
      <c r="W204" s="1"/>
    </row>
    <row r="205" spans="1:23">
      <c r="A205" s="223"/>
      <c r="B205" s="1"/>
      <c r="C205" s="1"/>
      <c r="D205" s="1"/>
      <c r="E205" s="1"/>
      <c r="F205" s="1"/>
      <c r="G205" s="1"/>
      <c r="H205" s="1"/>
      <c r="I205" s="1"/>
      <c r="J205" s="1"/>
      <c r="K205" s="1"/>
      <c r="L205" s="1"/>
      <c r="M205" s="1"/>
      <c r="N205" s="1"/>
      <c r="O205" s="1"/>
      <c r="P205" s="1"/>
      <c r="Q205" s="1"/>
      <c r="R205" s="1"/>
      <c r="S205" s="1"/>
      <c r="T205" s="1"/>
      <c r="U205" s="1"/>
      <c r="V205" s="1"/>
      <c r="W205" s="1"/>
    </row>
    <row r="206" spans="1:23">
      <c r="A206" s="223"/>
      <c r="B206" s="1"/>
      <c r="C206" s="1"/>
      <c r="D206" s="1"/>
      <c r="E206" s="1"/>
      <c r="F206" s="1"/>
      <c r="G206" s="1"/>
      <c r="H206" s="1"/>
      <c r="I206" s="1"/>
      <c r="J206" s="1"/>
      <c r="K206" s="1"/>
      <c r="L206" s="1"/>
      <c r="M206" s="1"/>
      <c r="N206" s="1"/>
      <c r="O206" s="1"/>
      <c r="P206" s="1"/>
      <c r="Q206" s="1"/>
      <c r="R206" s="1"/>
      <c r="S206" s="1"/>
      <c r="T206" s="1"/>
      <c r="U206" s="1"/>
      <c r="V206" s="1"/>
      <c r="W206" s="1"/>
    </row>
    <row r="207" spans="1:23">
      <c r="A207" s="223"/>
      <c r="B207" s="1"/>
      <c r="C207" s="1"/>
      <c r="D207" s="1"/>
      <c r="E207" s="1"/>
      <c r="F207" s="1"/>
      <c r="G207" s="1"/>
      <c r="H207" s="1"/>
      <c r="I207" s="1"/>
      <c r="J207" s="1"/>
      <c r="K207" s="1"/>
      <c r="L207" s="1"/>
      <c r="M207" s="1"/>
      <c r="N207" s="1"/>
      <c r="O207" s="1"/>
      <c r="P207" s="1"/>
      <c r="Q207" s="1"/>
      <c r="R207" s="1"/>
      <c r="S207" s="1"/>
      <c r="T207" s="1"/>
      <c r="U207" s="1"/>
      <c r="V207" s="1"/>
      <c r="W207" s="1"/>
    </row>
    <row r="208" spans="1:23">
      <c r="A208" s="223"/>
      <c r="B208" s="1"/>
      <c r="C208" s="1"/>
      <c r="D208" s="1"/>
      <c r="E208" s="1"/>
      <c r="F208" s="1"/>
      <c r="G208" s="1"/>
      <c r="H208" s="1"/>
      <c r="I208" s="1"/>
      <c r="J208" s="1"/>
      <c r="K208" s="1"/>
      <c r="L208" s="1"/>
      <c r="M208" s="1"/>
      <c r="N208" s="1"/>
      <c r="O208" s="1"/>
      <c r="P208" s="1"/>
      <c r="Q208" s="1"/>
      <c r="R208" s="1"/>
      <c r="S208" s="1"/>
      <c r="T208" s="1"/>
      <c r="U208" s="1"/>
      <c r="V208" s="1"/>
      <c r="W208" s="1"/>
    </row>
    <row r="209" spans="1:23">
      <c r="A209" s="223"/>
      <c r="B209" s="1"/>
      <c r="C209" s="1"/>
      <c r="D209" s="1"/>
      <c r="E209" s="1"/>
      <c r="F209" s="1"/>
      <c r="G209" s="1"/>
      <c r="H209" s="1"/>
      <c r="I209" s="1"/>
      <c r="J209" s="1"/>
      <c r="K209" s="1"/>
      <c r="L209" s="1"/>
      <c r="M209" s="1"/>
      <c r="N209" s="1"/>
      <c r="O209" s="1"/>
      <c r="P209" s="1"/>
      <c r="Q209" s="1"/>
      <c r="R209" s="1"/>
      <c r="S209" s="1"/>
      <c r="T209" s="1"/>
      <c r="U209" s="1"/>
      <c r="V209" s="1"/>
      <c r="W209" s="1"/>
    </row>
    <row r="210" spans="1:23">
      <c r="A210" s="223"/>
      <c r="B210" s="1"/>
      <c r="C210" s="1"/>
      <c r="D210" s="1"/>
      <c r="E210" s="1"/>
      <c r="F210" s="1"/>
      <c r="G210" s="1"/>
      <c r="H210" s="1"/>
      <c r="I210" s="1"/>
      <c r="J210" s="1"/>
      <c r="K210" s="1"/>
      <c r="L210" s="1"/>
      <c r="M210" s="1"/>
      <c r="N210" s="1"/>
      <c r="O210" s="1"/>
      <c r="P210" s="1"/>
      <c r="Q210" s="1"/>
      <c r="R210" s="1"/>
      <c r="S210" s="1"/>
      <c r="T210" s="1"/>
      <c r="U210" s="1"/>
      <c r="V210" s="1"/>
      <c r="W210" s="1"/>
    </row>
    <row r="211" spans="1:23">
      <c r="A211" s="223"/>
      <c r="B211" s="1"/>
      <c r="C211" s="1"/>
      <c r="D211" s="1"/>
      <c r="E211" s="1"/>
      <c r="F211" s="1"/>
      <c r="G211" s="1"/>
      <c r="H211" s="1"/>
      <c r="I211" s="1"/>
      <c r="J211" s="1"/>
      <c r="K211" s="1"/>
      <c r="L211" s="1"/>
      <c r="M211" s="1"/>
      <c r="N211" s="1"/>
      <c r="O211" s="1"/>
      <c r="P211" s="1"/>
      <c r="Q211" s="1"/>
      <c r="R211" s="1"/>
      <c r="S211" s="1"/>
      <c r="T211" s="1"/>
      <c r="U211" s="1"/>
      <c r="V211" s="1"/>
      <c r="W211" s="1"/>
    </row>
    <row r="212" spans="1:23">
      <c r="A212" s="223"/>
      <c r="B212" s="1"/>
      <c r="C212" s="1"/>
      <c r="D212" s="1"/>
      <c r="E212" s="1"/>
      <c r="F212" s="1"/>
      <c r="G212" s="1"/>
      <c r="H212" s="1"/>
      <c r="I212" s="1"/>
      <c r="J212" s="1"/>
      <c r="K212" s="1"/>
      <c r="L212" s="1"/>
      <c r="M212" s="1"/>
      <c r="N212" s="1"/>
      <c r="O212" s="1"/>
      <c r="P212" s="1"/>
      <c r="Q212" s="1"/>
      <c r="R212" s="1"/>
      <c r="S212" s="1"/>
      <c r="T212" s="1"/>
      <c r="U212" s="1"/>
      <c r="V212" s="1"/>
      <c r="W212" s="1"/>
    </row>
    <row r="213" spans="1:23">
      <c r="A213" s="223"/>
      <c r="B213" s="1"/>
      <c r="C213" s="1"/>
      <c r="D213" s="1"/>
      <c r="E213" s="1"/>
      <c r="F213" s="1"/>
      <c r="G213" s="1"/>
      <c r="H213" s="1"/>
      <c r="I213" s="1"/>
      <c r="J213" s="1"/>
      <c r="K213" s="1"/>
      <c r="L213" s="1"/>
      <c r="M213" s="1"/>
      <c r="N213" s="1"/>
      <c r="O213" s="1"/>
      <c r="P213" s="1"/>
      <c r="Q213" s="1"/>
      <c r="R213" s="1"/>
      <c r="S213" s="1"/>
      <c r="T213" s="1"/>
      <c r="U213" s="1"/>
      <c r="V213" s="1"/>
      <c r="W213" s="1"/>
    </row>
    <row r="214" spans="1:23">
      <c r="A214" s="223"/>
      <c r="B214" s="1"/>
      <c r="C214" s="1"/>
      <c r="D214" s="1"/>
      <c r="E214" s="1"/>
      <c r="F214" s="1"/>
      <c r="G214" s="1"/>
      <c r="H214" s="1"/>
      <c r="I214" s="1"/>
      <c r="J214" s="1"/>
      <c r="K214" s="1"/>
      <c r="L214" s="1"/>
      <c r="M214" s="1"/>
      <c r="N214" s="1"/>
      <c r="O214" s="1"/>
      <c r="P214" s="1"/>
      <c r="Q214" s="1"/>
      <c r="R214" s="1"/>
      <c r="S214" s="1"/>
      <c r="T214" s="1"/>
      <c r="U214" s="1"/>
      <c r="V214" s="1"/>
      <c r="W214" s="1"/>
    </row>
    <row r="215" spans="1:23">
      <c r="A215" s="223"/>
      <c r="B215" s="1"/>
      <c r="C215" s="1"/>
      <c r="D215" s="1"/>
      <c r="E215" s="1"/>
      <c r="F215" s="1"/>
      <c r="G215" s="1"/>
      <c r="H215" s="1"/>
      <c r="I215" s="1"/>
      <c r="J215" s="1"/>
      <c r="K215" s="1"/>
      <c r="L215" s="1"/>
      <c r="M215" s="1"/>
      <c r="N215" s="1"/>
      <c r="O215" s="1"/>
      <c r="P215" s="1"/>
      <c r="Q215" s="1"/>
      <c r="R215" s="1"/>
      <c r="S215" s="1"/>
      <c r="T215" s="1"/>
      <c r="U215" s="1"/>
      <c r="V215" s="1"/>
      <c r="W215" s="1"/>
    </row>
    <row r="216" spans="1:23">
      <c r="A216" s="223"/>
      <c r="B216" s="1"/>
      <c r="C216" s="1"/>
      <c r="D216" s="1"/>
      <c r="E216" s="1"/>
      <c r="F216" s="1"/>
      <c r="G216" s="1"/>
      <c r="H216" s="1"/>
      <c r="I216" s="1"/>
      <c r="J216" s="1"/>
      <c r="K216" s="1"/>
      <c r="L216" s="1"/>
      <c r="M216" s="1"/>
      <c r="N216" s="1"/>
      <c r="O216" s="1"/>
      <c r="P216" s="1"/>
      <c r="Q216" s="1"/>
      <c r="R216" s="1"/>
      <c r="S216" s="1"/>
      <c r="T216" s="1"/>
      <c r="U216" s="1"/>
      <c r="V216" s="1"/>
      <c r="W216" s="1"/>
    </row>
    <row r="217" spans="1:23">
      <c r="A217" s="223"/>
      <c r="B217" s="1"/>
      <c r="C217" s="1"/>
      <c r="D217" s="1"/>
      <c r="E217" s="1"/>
      <c r="F217" s="1"/>
      <c r="G217" s="1"/>
      <c r="H217" s="1"/>
      <c r="I217" s="1"/>
      <c r="J217" s="1"/>
      <c r="K217" s="1"/>
      <c r="L217" s="1"/>
      <c r="M217" s="1"/>
      <c r="N217" s="1"/>
      <c r="O217" s="1"/>
      <c r="P217" s="1"/>
      <c r="Q217" s="1"/>
      <c r="R217" s="1"/>
      <c r="S217" s="1"/>
      <c r="T217" s="1"/>
      <c r="U217" s="1"/>
      <c r="V217" s="1"/>
      <c r="W217" s="1"/>
    </row>
    <row r="218" spans="1:23">
      <c r="A218" s="223"/>
      <c r="B218" s="1"/>
      <c r="C218" s="1"/>
      <c r="D218" s="1"/>
      <c r="E218" s="1"/>
      <c r="F218" s="1"/>
      <c r="G218" s="1"/>
      <c r="H218" s="1"/>
      <c r="I218" s="1"/>
      <c r="J218" s="1"/>
      <c r="K218" s="1"/>
      <c r="L218" s="1"/>
      <c r="M218" s="1"/>
      <c r="N218" s="1"/>
      <c r="O218" s="1"/>
      <c r="P218" s="1"/>
      <c r="Q218" s="1"/>
      <c r="R218" s="1"/>
      <c r="S218" s="1"/>
      <c r="T218" s="1"/>
      <c r="U218" s="1"/>
      <c r="V218" s="1"/>
      <c r="W218" s="1"/>
    </row>
    <row r="219" spans="1:23">
      <c r="A219" s="223"/>
      <c r="B219" s="1"/>
      <c r="C219" s="1"/>
      <c r="D219" s="1"/>
      <c r="E219" s="1"/>
      <c r="F219" s="1"/>
      <c r="G219" s="1"/>
      <c r="H219" s="1"/>
      <c r="I219" s="1"/>
      <c r="J219" s="1"/>
      <c r="K219" s="1"/>
      <c r="L219" s="1"/>
      <c r="M219" s="1"/>
      <c r="N219" s="1"/>
      <c r="O219" s="1"/>
      <c r="P219" s="1"/>
      <c r="Q219" s="1"/>
      <c r="R219" s="1"/>
      <c r="S219" s="1"/>
      <c r="T219" s="1"/>
      <c r="U219" s="1"/>
      <c r="V219" s="1"/>
      <c r="W219" s="1"/>
    </row>
    <row r="220" spans="1:23">
      <c r="A220" s="223"/>
      <c r="B220" s="1"/>
      <c r="C220" s="1"/>
      <c r="D220" s="1"/>
      <c r="E220" s="1"/>
      <c r="F220" s="1"/>
      <c r="G220" s="1"/>
      <c r="H220" s="1"/>
      <c r="I220" s="1"/>
      <c r="J220" s="1"/>
      <c r="K220" s="1"/>
      <c r="L220" s="1"/>
      <c r="M220" s="1"/>
      <c r="N220" s="1"/>
      <c r="O220" s="1"/>
      <c r="P220" s="1"/>
      <c r="Q220" s="1"/>
      <c r="R220" s="1"/>
      <c r="S220" s="1"/>
      <c r="T220" s="1"/>
      <c r="U220" s="1"/>
      <c r="V220" s="1"/>
      <c r="W220" s="1"/>
    </row>
    <row r="221" spans="1:23">
      <c r="A221" s="223"/>
      <c r="B221" s="1"/>
      <c r="C221" s="1"/>
      <c r="D221" s="1"/>
      <c r="E221" s="1"/>
      <c r="F221" s="1"/>
      <c r="G221" s="1"/>
      <c r="H221" s="1"/>
      <c r="I221" s="1"/>
      <c r="J221" s="1"/>
      <c r="K221" s="1"/>
      <c r="L221" s="1"/>
      <c r="M221" s="1"/>
      <c r="N221" s="1"/>
      <c r="O221" s="1"/>
      <c r="P221" s="1"/>
      <c r="Q221" s="1"/>
      <c r="R221" s="1"/>
      <c r="S221" s="1"/>
      <c r="T221" s="1"/>
      <c r="U221" s="1"/>
      <c r="V221" s="1"/>
      <c r="W221" s="1"/>
    </row>
    <row r="222" spans="1:23">
      <c r="A222" s="223"/>
      <c r="B222" s="1"/>
      <c r="C222" s="1"/>
      <c r="D222" s="1"/>
      <c r="E222" s="1"/>
      <c r="F222" s="1"/>
      <c r="G222" s="1"/>
      <c r="H222" s="1"/>
      <c r="I222" s="1"/>
      <c r="J222" s="1"/>
      <c r="K222" s="1"/>
      <c r="L222" s="1"/>
      <c r="M222" s="1"/>
      <c r="N222" s="1"/>
      <c r="O222" s="1"/>
      <c r="P222" s="1"/>
      <c r="Q222" s="1"/>
      <c r="R222" s="1"/>
      <c r="S222" s="1"/>
      <c r="T222" s="1"/>
      <c r="U222" s="1"/>
      <c r="V222" s="1"/>
      <c r="W222" s="1"/>
    </row>
    <row r="223" spans="1:23">
      <c r="A223" s="223"/>
      <c r="B223" s="1"/>
      <c r="C223" s="1"/>
      <c r="D223" s="1"/>
      <c r="E223" s="1"/>
      <c r="F223" s="1"/>
      <c r="G223" s="1"/>
      <c r="H223" s="1"/>
      <c r="I223" s="1"/>
      <c r="J223" s="1"/>
      <c r="K223" s="1"/>
      <c r="L223" s="1"/>
      <c r="M223" s="1"/>
      <c r="N223" s="1"/>
      <c r="O223" s="1"/>
      <c r="P223" s="1"/>
      <c r="Q223" s="1"/>
      <c r="R223" s="1"/>
      <c r="S223" s="1"/>
      <c r="T223" s="1"/>
      <c r="U223" s="1"/>
      <c r="V223" s="1"/>
      <c r="W223" s="1"/>
    </row>
    <row r="224" spans="1:23">
      <c r="A224" s="223"/>
      <c r="B224" s="1"/>
      <c r="C224" s="1"/>
      <c r="D224" s="1"/>
      <c r="E224" s="1"/>
      <c r="F224" s="1"/>
      <c r="G224" s="1"/>
      <c r="H224" s="1"/>
      <c r="I224" s="1"/>
      <c r="J224" s="1"/>
      <c r="K224" s="1"/>
      <c r="L224" s="1"/>
      <c r="M224" s="1"/>
      <c r="N224" s="1"/>
      <c r="O224" s="1"/>
      <c r="P224" s="1"/>
      <c r="Q224" s="1"/>
      <c r="R224" s="1"/>
      <c r="S224" s="1"/>
      <c r="T224" s="1"/>
      <c r="U224" s="1"/>
      <c r="V224" s="1"/>
      <c r="W224" s="1"/>
    </row>
    <row r="225" spans="1:23">
      <c r="A225" s="223"/>
      <c r="B225" s="1"/>
      <c r="C225" s="1"/>
      <c r="D225" s="1"/>
      <c r="E225" s="1"/>
      <c r="F225" s="1"/>
      <c r="G225" s="1"/>
      <c r="H225" s="1"/>
      <c r="I225" s="1"/>
      <c r="J225" s="1"/>
      <c r="K225" s="1"/>
      <c r="L225" s="1"/>
      <c r="M225" s="1"/>
      <c r="N225" s="1"/>
      <c r="O225" s="1"/>
      <c r="P225" s="1"/>
      <c r="Q225" s="1"/>
      <c r="R225" s="1"/>
      <c r="S225" s="1"/>
      <c r="T225" s="1"/>
      <c r="U225" s="1"/>
      <c r="V225" s="1"/>
      <c r="W225" s="1"/>
    </row>
    <row r="226" spans="1:23">
      <c r="A226" s="223"/>
      <c r="B226" s="1"/>
      <c r="C226" s="1"/>
      <c r="D226" s="1"/>
      <c r="E226" s="1"/>
      <c r="F226" s="1"/>
      <c r="G226" s="1"/>
      <c r="H226" s="1"/>
      <c r="I226" s="1"/>
      <c r="J226" s="1"/>
      <c r="K226" s="1"/>
      <c r="L226" s="1"/>
      <c r="M226" s="1"/>
      <c r="N226" s="1"/>
      <c r="O226" s="1"/>
      <c r="P226" s="1"/>
      <c r="Q226" s="1"/>
      <c r="R226" s="1"/>
      <c r="S226" s="1"/>
      <c r="T226" s="1"/>
      <c r="U226" s="1"/>
      <c r="V226" s="1"/>
      <c r="W226" s="1"/>
    </row>
    <row r="227" spans="1:23">
      <c r="A227" s="223"/>
      <c r="B227" s="1"/>
      <c r="C227" s="1"/>
      <c r="D227" s="1"/>
      <c r="E227" s="1"/>
      <c r="F227" s="1"/>
      <c r="G227" s="1"/>
      <c r="H227" s="1"/>
      <c r="I227" s="1"/>
      <c r="J227" s="1"/>
      <c r="K227" s="1"/>
      <c r="L227" s="1"/>
      <c r="M227" s="1"/>
      <c r="N227" s="1"/>
      <c r="O227" s="1"/>
      <c r="P227" s="1"/>
      <c r="Q227" s="1"/>
      <c r="R227" s="1"/>
      <c r="S227" s="1"/>
      <c r="T227" s="1"/>
      <c r="U227" s="1"/>
      <c r="V227" s="1"/>
      <c r="W227" s="1"/>
    </row>
    <row r="228" spans="1:23">
      <c r="A228" s="223"/>
      <c r="B228" s="1"/>
      <c r="C228" s="1"/>
      <c r="D228" s="1"/>
      <c r="E228" s="1"/>
      <c r="F228" s="1"/>
      <c r="G228" s="1"/>
      <c r="H228" s="1"/>
      <c r="I228" s="1"/>
      <c r="J228" s="1"/>
      <c r="K228" s="1"/>
      <c r="L228" s="1"/>
      <c r="M228" s="1"/>
      <c r="N228" s="1"/>
      <c r="O228" s="1"/>
      <c r="P228" s="1"/>
      <c r="Q228" s="1"/>
      <c r="R228" s="1"/>
      <c r="S228" s="1"/>
      <c r="T228" s="1"/>
      <c r="U228" s="1"/>
      <c r="V228" s="1"/>
      <c r="W228" s="1"/>
    </row>
    <row r="229" spans="1:23">
      <c r="A229" s="223"/>
      <c r="B229" s="1"/>
      <c r="C229" s="1"/>
      <c r="D229" s="1"/>
      <c r="E229" s="1"/>
      <c r="F229" s="1"/>
      <c r="G229" s="1"/>
      <c r="H229" s="1"/>
      <c r="I229" s="1"/>
      <c r="J229" s="1"/>
      <c r="K229" s="1"/>
      <c r="L229" s="1"/>
      <c r="M229" s="1"/>
      <c r="N229" s="1"/>
      <c r="O229" s="1"/>
      <c r="P229" s="1"/>
      <c r="Q229" s="1"/>
      <c r="R229" s="1"/>
      <c r="S229" s="1"/>
      <c r="T229" s="1"/>
      <c r="U229" s="1"/>
      <c r="V229" s="1"/>
      <c r="W229" s="1"/>
    </row>
    <row r="230" spans="1:23">
      <c r="A230" s="223"/>
      <c r="B230" s="1"/>
      <c r="C230" s="1"/>
      <c r="D230" s="1"/>
      <c r="E230" s="1"/>
      <c r="F230" s="1"/>
      <c r="G230" s="1"/>
      <c r="H230" s="1"/>
      <c r="I230" s="1"/>
      <c r="J230" s="1"/>
      <c r="K230" s="1"/>
      <c r="L230" s="1"/>
      <c r="M230" s="1"/>
      <c r="N230" s="1"/>
      <c r="O230" s="1"/>
      <c r="P230" s="1"/>
      <c r="Q230" s="1"/>
      <c r="R230" s="1"/>
      <c r="S230" s="1"/>
      <c r="T230" s="1"/>
      <c r="U230" s="1"/>
      <c r="V230" s="1"/>
      <c r="W230" s="1"/>
    </row>
    <row r="231" spans="1:23">
      <c r="A231" s="223"/>
      <c r="B231" s="1"/>
      <c r="C231" s="1"/>
      <c r="D231" s="1"/>
      <c r="E231" s="1"/>
      <c r="F231" s="1"/>
      <c r="G231" s="1"/>
      <c r="H231" s="1"/>
      <c r="I231" s="1"/>
      <c r="J231" s="1"/>
      <c r="K231" s="1"/>
      <c r="L231" s="1"/>
      <c r="M231" s="1"/>
      <c r="N231" s="1"/>
      <c r="O231" s="1"/>
      <c r="P231" s="1"/>
      <c r="Q231" s="1"/>
      <c r="R231" s="1"/>
      <c r="S231" s="1"/>
      <c r="T231" s="1"/>
      <c r="U231" s="1"/>
      <c r="V231" s="1"/>
      <c r="W231" s="1"/>
    </row>
    <row r="232" spans="1:23">
      <c r="A232" s="223"/>
      <c r="B232" s="1"/>
      <c r="C232" s="1"/>
      <c r="D232" s="1"/>
      <c r="E232" s="1"/>
      <c r="F232" s="1"/>
      <c r="G232" s="1"/>
      <c r="H232" s="1"/>
      <c r="I232" s="1"/>
      <c r="J232" s="1"/>
      <c r="K232" s="1"/>
      <c r="L232" s="1"/>
      <c r="M232" s="1"/>
      <c r="N232" s="1"/>
      <c r="O232" s="1"/>
      <c r="P232" s="1"/>
      <c r="Q232" s="1"/>
      <c r="R232" s="1"/>
      <c r="S232" s="1"/>
      <c r="T232" s="1"/>
      <c r="U232" s="1"/>
      <c r="V232" s="1"/>
      <c r="W232" s="1"/>
    </row>
    <row r="233" spans="1:23">
      <c r="A233" s="223"/>
      <c r="B233" s="1"/>
      <c r="C233" s="1"/>
      <c r="D233" s="1"/>
      <c r="E233" s="1"/>
      <c r="F233" s="1"/>
      <c r="G233" s="1"/>
      <c r="H233" s="1"/>
      <c r="I233" s="1"/>
      <c r="J233" s="1"/>
      <c r="K233" s="1"/>
      <c r="L233" s="1"/>
      <c r="M233" s="1"/>
      <c r="N233" s="1"/>
      <c r="O233" s="1"/>
      <c r="P233" s="1"/>
      <c r="Q233" s="1"/>
      <c r="R233" s="1"/>
      <c r="S233" s="1"/>
      <c r="T233" s="1"/>
      <c r="U233" s="1"/>
      <c r="V233" s="1"/>
      <c r="W233" s="1"/>
    </row>
    <row r="234" spans="1:23">
      <c r="A234" s="223"/>
      <c r="B234" s="1"/>
      <c r="C234" s="1"/>
      <c r="D234" s="1"/>
      <c r="E234" s="1"/>
      <c r="F234" s="1"/>
      <c r="G234" s="1"/>
      <c r="H234" s="1"/>
      <c r="I234" s="1"/>
      <c r="J234" s="1"/>
      <c r="K234" s="1"/>
      <c r="L234" s="1"/>
      <c r="M234" s="1"/>
      <c r="N234" s="1"/>
      <c r="O234" s="1"/>
      <c r="P234" s="1"/>
      <c r="Q234" s="1"/>
      <c r="R234" s="1"/>
      <c r="S234" s="1"/>
      <c r="T234" s="1"/>
      <c r="U234" s="1"/>
      <c r="V234" s="1"/>
      <c r="W234" s="1"/>
    </row>
    <row r="235" spans="1:23">
      <c r="A235" s="223"/>
      <c r="B235" s="1"/>
      <c r="C235" s="1"/>
      <c r="D235" s="1"/>
      <c r="E235" s="1"/>
      <c r="F235" s="1"/>
      <c r="G235" s="1"/>
      <c r="H235" s="1"/>
      <c r="I235" s="1"/>
      <c r="J235" s="1"/>
      <c r="K235" s="1"/>
      <c r="L235" s="1"/>
      <c r="M235" s="1"/>
      <c r="N235" s="1"/>
      <c r="O235" s="1"/>
      <c r="P235" s="1"/>
      <c r="Q235" s="1"/>
      <c r="R235" s="1"/>
      <c r="S235" s="1"/>
      <c r="T235" s="1"/>
      <c r="U235" s="1"/>
      <c r="V235" s="1"/>
      <c r="W235" s="1"/>
    </row>
    <row r="236" spans="1:23">
      <c r="A236" s="223"/>
      <c r="B236" s="1"/>
      <c r="C236" s="1"/>
      <c r="D236" s="1"/>
      <c r="E236" s="1"/>
      <c r="F236" s="1"/>
      <c r="G236" s="1"/>
      <c r="H236" s="1"/>
      <c r="I236" s="1"/>
      <c r="J236" s="1"/>
      <c r="K236" s="1"/>
      <c r="L236" s="1"/>
      <c r="M236" s="1"/>
      <c r="N236" s="1"/>
      <c r="O236" s="1"/>
      <c r="P236" s="1"/>
      <c r="Q236" s="1"/>
      <c r="R236" s="1"/>
      <c r="S236" s="1"/>
      <c r="T236" s="1"/>
      <c r="U236" s="1"/>
      <c r="V236" s="1"/>
      <c r="W236" s="1"/>
    </row>
    <row r="237" spans="1:23">
      <c r="A237" s="223"/>
      <c r="B237" s="1"/>
      <c r="C237" s="1"/>
      <c r="D237" s="1"/>
      <c r="E237" s="1"/>
      <c r="F237" s="1"/>
      <c r="G237" s="1"/>
      <c r="H237" s="1"/>
      <c r="I237" s="1"/>
      <c r="J237" s="1"/>
      <c r="K237" s="1"/>
      <c r="L237" s="1"/>
      <c r="M237" s="1"/>
      <c r="N237" s="1"/>
      <c r="O237" s="1"/>
      <c r="P237" s="1"/>
      <c r="Q237" s="1"/>
      <c r="R237" s="1"/>
      <c r="S237" s="1"/>
      <c r="T237" s="1"/>
      <c r="U237" s="1"/>
      <c r="V237" s="1"/>
      <c r="W237" s="1"/>
    </row>
    <row r="238" spans="1:23">
      <c r="A238" s="223"/>
      <c r="B238" s="1"/>
      <c r="C238" s="1"/>
      <c r="D238" s="1"/>
      <c r="E238" s="1"/>
      <c r="F238" s="1"/>
      <c r="G238" s="1"/>
      <c r="H238" s="1"/>
      <c r="I238" s="1"/>
      <c r="J238" s="1"/>
      <c r="K238" s="1"/>
      <c r="L238" s="1"/>
      <c r="M238" s="1"/>
      <c r="N238" s="1"/>
      <c r="O238" s="1"/>
      <c r="P238" s="1"/>
      <c r="Q238" s="1"/>
      <c r="R238" s="1"/>
      <c r="S238" s="1"/>
      <c r="T238" s="1"/>
      <c r="U238" s="1"/>
      <c r="V238" s="1"/>
      <c r="W238" s="1"/>
    </row>
    <row r="239" spans="1:23">
      <c r="A239" s="223"/>
      <c r="B239" s="1"/>
      <c r="C239" s="1"/>
      <c r="D239" s="1"/>
      <c r="E239" s="1"/>
      <c r="F239" s="1"/>
      <c r="G239" s="1"/>
      <c r="H239" s="1"/>
      <c r="I239" s="1"/>
      <c r="J239" s="1"/>
      <c r="K239" s="1"/>
      <c r="L239" s="1"/>
      <c r="M239" s="1"/>
      <c r="N239" s="1"/>
      <c r="O239" s="1"/>
      <c r="P239" s="1"/>
      <c r="Q239" s="1"/>
      <c r="R239" s="1"/>
      <c r="S239" s="1"/>
      <c r="T239" s="1"/>
      <c r="U239" s="1"/>
      <c r="V239" s="1"/>
      <c r="W239" s="1"/>
    </row>
    <row r="240" spans="1:23">
      <c r="A240" s="223"/>
      <c r="B240" s="1"/>
      <c r="C240" s="1"/>
      <c r="D240" s="1"/>
      <c r="E240" s="1"/>
      <c r="F240" s="1"/>
      <c r="G240" s="1"/>
      <c r="H240" s="1"/>
      <c r="I240" s="1"/>
      <c r="J240" s="1"/>
      <c r="K240" s="1"/>
      <c r="L240" s="1"/>
      <c r="M240" s="1"/>
      <c r="N240" s="1"/>
      <c r="O240" s="1"/>
      <c r="P240" s="1"/>
      <c r="Q240" s="1"/>
      <c r="R240" s="1"/>
      <c r="S240" s="1"/>
      <c r="T240" s="1"/>
      <c r="U240" s="1"/>
      <c r="V240" s="1"/>
      <c r="W240" s="1"/>
    </row>
    <row r="241" spans="1:23">
      <c r="A241" s="223"/>
      <c r="B241" s="1"/>
      <c r="C241" s="1"/>
      <c r="D241" s="1"/>
      <c r="E241" s="1"/>
      <c r="F241" s="1"/>
      <c r="G241" s="1"/>
      <c r="H241" s="1"/>
      <c r="I241" s="1"/>
      <c r="J241" s="1"/>
      <c r="K241" s="1"/>
      <c r="L241" s="1"/>
      <c r="M241" s="1"/>
      <c r="N241" s="1"/>
      <c r="O241" s="1"/>
      <c r="P241" s="1"/>
      <c r="Q241" s="1"/>
      <c r="R241" s="1"/>
      <c r="S241" s="1"/>
      <c r="T241" s="1"/>
      <c r="U241" s="1"/>
      <c r="V241" s="1"/>
      <c r="W241" s="1"/>
    </row>
    <row r="242" spans="1:23">
      <c r="A242" s="223"/>
      <c r="B242" s="1"/>
      <c r="C242" s="1"/>
      <c r="D242" s="1"/>
      <c r="E242" s="1"/>
      <c r="F242" s="1"/>
      <c r="G242" s="1"/>
      <c r="H242" s="1"/>
      <c r="I242" s="1"/>
      <c r="J242" s="1"/>
      <c r="K242" s="1"/>
      <c r="L242" s="1"/>
      <c r="M242" s="1"/>
      <c r="N242" s="1"/>
      <c r="O242" s="1"/>
      <c r="P242" s="1"/>
      <c r="Q242" s="1"/>
      <c r="R242" s="1"/>
      <c r="S242" s="1"/>
      <c r="T242" s="1"/>
      <c r="U242" s="1"/>
      <c r="V242" s="1"/>
      <c r="W242" s="1"/>
    </row>
    <row r="243" spans="1:23">
      <c r="A243" s="223"/>
      <c r="B243" s="1"/>
      <c r="C243" s="1"/>
      <c r="D243" s="1"/>
      <c r="E243" s="1"/>
      <c r="F243" s="1"/>
      <c r="G243" s="1"/>
      <c r="H243" s="1"/>
      <c r="I243" s="1"/>
      <c r="J243" s="1"/>
      <c r="K243" s="1"/>
      <c r="L243" s="1"/>
      <c r="M243" s="1"/>
      <c r="N243" s="1"/>
      <c r="O243" s="1"/>
      <c r="P243" s="1"/>
      <c r="Q243" s="1"/>
      <c r="R243" s="1"/>
      <c r="S243" s="1"/>
      <c r="T243" s="1"/>
      <c r="U243" s="1"/>
      <c r="V243" s="1"/>
      <c r="W243" s="1"/>
    </row>
    <row r="244" spans="1:23">
      <c r="A244" s="223"/>
      <c r="B244" s="1"/>
      <c r="C244" s="1"/>
      <c r="D244" s="1"/>
      <c r="E244" s="1"/>
      <c r="F244" s="1"/>
      <c r="G244" s="1"/>
      <c r="H244" s="1"/>
      <c r="I244" s="1"/>
      <c r="J244" s="1"/>
      <c r="K244" s="1"/>
      <c r="L244" s="1"/>
      <c r="M244" s="1"/>
      <c r="N244" s="1"/>
      <c r="O244" s="1"/>
      <c r="P244" s="1"/>
      <c r="Q244" s="1"/>
      <c r="R244" s="1"/>
      <c r="S244" s="1"/>
      <c r="T244" s="1"/>
      <c r="U244" s="1"/>
      <c r="V244" s="1"/>
      <c r="W244" s="1"/>
    </row>
    <row r="245" spans="1:23">
      <c r="A245" s="223"/>
      <c r="B245" s="1"/>
      <c r="C245" s="1"/>
      <c r="D245" s="1"/>
      <c r="E245" s="1"/>
      <c r="F245" s="1"/>
      <c r="G245" s="1"/>
      <c r="H245" s="1"/>
      <c r="I245" s="1"/>
      <c r="J245" s="1"/>
      <c r="K245" s="1"/>
      <c r="L245" s="1"/>
      <c r="M245" s="1"/>
      <c r="N245" s="1"/>
      <c r="O245" s="1"/>
      <c r="P245" s="1"/>
      <c r="Q245" s="1"/>
      <c r="R245" s="1"/>
      <c r="S245" s="1"/>
      <c r="T245" s="1"/>
      <c r="U245" s="1"/>
      <c r="V245" s="1"/>
      <c r="W245" s="1"/>
    </row>
    <row r="246" spans="1:23">
      <c r="A246" s="223"/>
      <c r="B246" s="1"/>
      <c r="C246" s="1"/>
      <c r="D246" s="1"/>
      <c r="E246" s="1"/>
      <c r="F246" s="1"/>
      <c r="G246" s="1"/>
      <c r="H246" s="1"/>
      <c r="I246" s="1"/>
      <c r="J246" s="1"/>
      <c r="K246" s="1"/>
      <c r="L246" s="1"/>
      <c r="M246" s="1"/>
      <c r="N246" s="1"/>
      <c r="O246" s="1"/>
      <c r="P246" s="1"/>
      <c r="Q246" s="1"/>
      <c r="R246" s="1"/>
      <c r="S246" s="1"/>
      <c r="T246" s="1"/>
      <c r="U246" s="1"/>
      <c r="V246" s="1"/>
      <c r="W246" s="1"/>
    </row>
    <row r="247" spans="1:23">
      <c r="A247" s="223"/>
      <c r="B247" s="1"/>
      <c r="C247" s="1"/>
      <c r="D247" s="1"/>
      <c r="E247" s="1"/>
      <c r="F247" s="1"/>
      <c r="G247" s="1"/>
      <c r="H247" s="1"/>
      <c r="I247" s="1"/>
      <c r="J247" s="1"/>
      <c r="K247" s="1"/>
      <c r="L247" s="1"/>
      <c r="M247" s="1"/>
      <c r="N247" s="1"/>
      <c r="O247" s="1"/>
      <c r="P247" s="1"/>
      <c r="Q247" s="1"/>
      <c r="R247" s="1"/>
      <c r="S247" s="1"/>
      <c r="T247" s="1"/>
      <c r="U247" s="1"/>
      <c r="V247" s="1"/>
      <c r="W247" s="1"/>
    </row>
    <row r="248" spans="1:23">
      <c r="A248" s="223"/>
      <c r="B248" s="1"/>
      <c r="C248" s="1"/>
      <c r="D248" s="1"/>
      <c r="E248" s="1"/>
      <c r="F248" s="1"/>
      <c r="G248" s="1"/>
      <c r="H248" s="1"/>
      <c r="I248" s="1"/>
      <c r="J248" s="1"/>
      <c r="K248" s="1"/>
      <c r="L248" s="1"/>
      <c r="M248" s="1"/>
      <c r="N248" s="1"/>
      <c r="O248" s="1"/>
      <c r="P248" s="1"/>
      <c r="Q248" s="1"/>
      <c r="R248" s="1"/>
      <c r="S248" s="1"/>
      <c r="T248" s="1"/>
      <c r="U248" s="1"/>
      <c r="V248" s="1"/>
      <c r="W248" s="1"/>
    </row>
    <row r="249" spans="1:23">
      <c r="A249" s="223"/>
      <c r="B249" s="1"/>
      <c r="C249" s="1"/>
      <c r="D249" s="1"/>
      <c r="E249" s="1"/>
      <c r="F249" s="1"/>
      <c r="G249" s="1"/>
      <c r="H249" s="1"/>
      <c r="I249" s="1"/>
      <c r="J249" s="1"/>
      <c r="K249" s="1"/>
      <c r="L249" s="1"/>
      <c r="M249" s="1"/>
      <c r="N249" s="1"/>
      <c r="O249" s="1"/>
      <c r="P249" s="1"/>
      <c r="Q249" s="1"/>
      <c r="R249" s="1"/>
      <c r="S249" s="1"/>
      <c r="T249" s="1"/>
      <c r="U249" s="1"/>
      <c r="V249" s="1"/>
      <c r="W249" s="1"/>
    </row>
    <row r="250" spans="1:23">
      <c r="A250" s="223"/>
      <c r="B250" s="1"/>
      <c r="C250" s="1"/>
      <c r="D250" s="1"/>
      <c r="E250" s="1"/>
      <c r="F250" s="1"/>
      <c r="G250" s="1"/>
      <c r="H250" s="1"/>
      <c r="I250" s="1"/>
      <c r="J250" s="1"/>
      <c r="K250" s="1"/>
      <c r="L250" s="1"/>
      <c r="M250" s="1"/>
      <c r="N250" s="1"/>
      <c r="O250" s="1"/>
      <c r="P250" s="1"/>
      <c r="Q250" s="1"/>
      <c r="R250" s="1"/>
      <c r="S250" s="1"/>
      <c r="T250" s="1"/>
      <c r="U250" s="1"/>
      <c r="V250" s="1"/>
      <c r="W250" s="1"/>
    </row>
    <row r="251" spans="1:23">
      <c r="A251" s="223"/>
      <c r="B251" s="1"/>
      <c r="C251" s="1"/>
      <c r="D251" s="1"/>
      <c r="E251" s="1"/>
      <c r="F251" s="1"/>
      <c r="G251" s="1"/>
      <c r="H251" s="1"/>
      <c r="I251" s="1"/>
      <c r="J251" s="1"/>
      <c r="K251" s="1"/>
      <c r="L251" s="1"/>
      <c r="M251" s="1"/>
      <c r="N251" s="1"/>
      <c r="O251" s="1"/>
      <c r="P251" s="1"/>
      <c r="Q251" s="1"/>
      <c r="R251" s="1"/>
      <c r="S251" s="1"/>
      <c r="T251" s="1"/>
      <c r="U251" s="1"/>
      <c r="V251" s="1"/>
      <c r="W251" s="1"/>
    </row>
    <row r="252" spans="1:23">
      <c r="A252" s="223"/>
      <c r="B252" s="1"/>
      <c r="C252" s="1"/>
      <c r="D252" s="1"/>
      <c r="E252" s="1"/>
      <c r="F252" s="1"/>
      <c r="G252" s="1"/>
      <c r="H252" s="1"/>
      <c r="I252" s="1"/>
      <c r="J252" s="1"/>
      <c r="K252" s="1"/>
      <c r="L252" s="1"/>
      <c r="M252" s="1"/>
      <c r="N252" s="1"/>
      <c r="O252" s="1"/>
      <c r="P252" s="1"/>
      <c r="Q252" s="1"/>
      <c r="R252" s="1"/>
      <c r="S252" s="1"/>
      <c r="T252" s="1"/>
      <c r="U252" s="1"/>
      <c r="V252" s="1"/>
      <c r="W252" s="1"/>
    </row>
    <row r="253" spans="1:23">
      <c r="A253" s="223"/>
      <c r="B253" s="1"/>
      <c r="C253" s="1"/>
      <c r="D253" s="1"/>
      <c r="E253" s="1"/>
      <c r="F253" s="1"/>
      <c r="G253" s="1"/>
      <c r="H253" s="1"/>
      <c r="I253" s="1"/>
      <c r="J253" s="1"/>
      <c r="K253" s="1"/>
      <c r="L253" s="1"/>
      <c r="M253" s="1"/>
      <c r="N253" s="1"/>
      <c r="O253" s="1"/>
      <c r="P253" s="1"/>
      <c r="Q253" s="1"/>
      <c r="R253" s="1"/>
      <c r="S253" s="1"/>
      <c r="T253" s="1"/>
      <c r="U253" s="1"/>
      <c r="V253" s="1"/>
      <c r="W253" s="1"/>
    </row>
    <row r="254" spans="1:23">
      <c r="A254" s="223"/>
      <c r="B254" s="1"/>
      <c r="C254" s="1"/>
      <c r="D254" s="1"/>
      <c r="E254" s="1"/>
      <c r="F254" s="1"/>
      <c r="G254" s="1"/>
      <c r="H254" s="1"/>
      <c r="I254" s="1"/>
      <c r="J254" s="1"/>
      <c r="K254" s="1"/>
      <c r="L254" s="1"/>
      <c r="M254" s="1"/>
      <c r="N254" s="1"/>
      <c r="O254" s="1"/>
      <c r="P254" s="1"/>
      <c r="Q254" s="1"/>
      <c r="R254" s="1"/>
      <c r="S254" s="1"/>
      <c r="T254" s="1"/>
      <c r="U254" s="1"/>
      <c r="V254" s="1"/>
      <c r="W254" s="1"/>
    </row>
    <row r="255" spans="1:23">
      <c r="A255" s="223"/>
      <c r="B255" s="1"/>
      <c r="C255" s="1"/>
      <c r="D255" s="1"/>
      <c r="E255" s="1"/>
      <c r="F255" s="1"/>
      <c r="G255" s="1"/>
      <c r="H255" s="1"/>
      <c r="I255" s="1"/>
      <c r="J255" s="1"/>
      <c r="K255" s="1"/>
      <c r="L255" s="1"/>
      <c r="M255" s="1"/>
      <c r="N255" s="1"/>
      <c r="O255" s="1"/>
      <c r="P255" s="1"/>
      <c r="Q255" s="1"/>
      <c r="R255" s="1"/>
      <c r="S255" s="1"/>
      <c r="T255" s="1"/>
      <c r="U255" s="1"/>
      <c r="V255" s="1"/>
      <c r="W255" s="1"/>
    </row>
    <row r="256" spans="1:23">
      <c r="A256" s="223"/>
      <c r="B256" s="1"/>
      <c r="C256" s="1"/>
      <c r="D256" s="1"/>
      <c r="E256" s="1"/>
      <c r="F256" s="1"/>
      <c r="G256" s="1"/>
      <c r="H256" s="1"/>
      <c r="I256" s="1"/>
      <c r="J256" s="1"/>
      <c r="K256" s="1"/>
      <c r="L256" s="1"/>
      <c r="M256" s="1"/>
      <c r="N256" s="1"/>
      <c r="O256" s="1"/>
      <c r="P256" s="1"/>
      <c r="Q256" s="1"/>
      <c r="R256" s="1"/>
      <c r="S256" s="1"/>
      <c r="T256" s="1"/>
      <c r="U256" s="1"/>
      <c r="V256" s="1"/>
      <c r="W256" s="1"/>
    </row>
    <row r="257" spans="1:23">
      <c r="A257" s="223"/>
      <c r="B257" s="1"/>
      <c r="C257" s="1"/>
      <c r="D257" s="1"/>
      <c r="E257" s="1"/>
      <c r="F257" s="1"/>
      <c r="G257" s="1"/>
      <c r="H257" s="1"/>
      <c r="I257" s="1"/>
      <c r="J257" s="1"/>
      <c r="K257" s="1"/>
      <c r="L257" s="1"/>
      <c r="M257" s="1"/>
      <c r="N257" s="1"/>
      <c r="O257" s="1"/>
      <c r="P257" s="1"/>
      <c r="Q257" s="1"/>
      <c r="R257" s="1"/>
      <c r="S257" s="1"/>
      <c r="T257" s="1"/>
      <c r="U257" s="1"/>
      <c r="V257" s="1"/>
      <c r="W257" s="1"/>
    </row>
    <row r="258" spans="1:23">
      <c r="A258" s="223"/>
      <c r="B258" s="1"/>
      <c r="C258" s="1"/>
      <c r="D258" s="1"/>
      <c r="E258" s="1"/>
      <c r="F258" s="1"/>
      <c r="G258" s="1"/>
      <c r="H258" s="1"/>
      <c r="I258" s="1"/>
      <c r="J258" s="1"/>
      <c r="K258" s="1"/>
      <c r="L258" s="1"/>
      <c r="M258" s="1"/>
      <c r="N258" s="1"/>
      <c r="O258" s="1"/>
      <c r="P258" s="1"/>
      <c r="Q258" s="1"/>
      <c r="R258" s="1"/>
      <c r="S258" s="1"/>
      <c r="T258" s="1"/>
      <c r="U258" s="1"/>
      <c r="V258" s="1"/>
      <c r="W258" s="1"/>
    </row>
    <row r="259" spans="1:23">
      <c r="A259" s="223"/>
      <c r="B259" s="1"/>
      <c r="C259" s="1"/>
      <c r="D259" s="1"/>
      <c r="E259" s="1"/>
      <c r="F259" s="1"/>
      <c r="G259" s="1"/>
      <c r="H259" s="1"/>
      <c r="I259" s="1"/>
      <c r="J259" s="1"/>
      <c r="K259" s="1"/>
      <c r="L259" s="1"/>
      <c r="M259" s="1"/>
      <c r="N259" s="1"/>
      <c r="O259" s="1"/>
      <c r="P259" s="1"/>
      <c r="Q259" s="1"/>
      <c r="R259" s="1"/>
      <c r="S259" s="1"/>
      <c r="T259" s="1"/>
      <c r="U259" s="1"/>
      <c r="V259" s="1"/>
      <c r="W259" s="1"/>
    </row>
    <row r="260" spans="1:23">
      <c r="A260" s="223"/>
      <c r="B260" s="1"/>
      <c r="C260" s="1"/>
      <c r="D260" s="1"/>
      <c r="E260" s="1"/>
      <c r="F260" s="1"/>
      <c r="G260" s="1"/>
      <c r="H260" s="1"/>
      <c r="I260" s="1"/>
      <c r="J260" s="1"/>
      <c r="K260" s="1"/>
      <c r="L260" s="1"/>
      <c r="M260" s="1"/>
      <c r="N260" s="1"/>
      <c r="O260" s="1"/>
      <c r="P260" s="1"/>
      <c r="Q260" s="1"/>
      <c r="R260" s="1"/>
      <c r="S260" s="1"/>
      <c r="T260" s="1"/>
      <c r="U260" s="1"/>
      <c r="V260" s="1"/>
      <c r="W260" s="1"/>
    </row>
    <row r="261" spans="1:23">
      <c r="A261" s="223"/>
      <c r="B261" s="1"/>
      <c r="C261" s="1"/>
      <c r="D261" s="1"/>
      <c r="E261" s="1"/>
      <c r="F261" s="1"/>
      <c r="G261" s="1"/>
      <c r="H261" s="1"/>
      <c r="I261" s="1"/>
      <c r="J261" s="1"/>
      <c r="K261" s="1"/>
      <c r="L261" s="1"/>
      <c r="M261" s="1"/>
      <c r="N261" s="1"/>
      <c r="O261" s="1"/>
      <c r="P261" s="1"/>
      <c r="Q261" s="1"/>
      <c r="R261" s="1"/>
      <c r="S261" s="1"/>
      <c r="T261" s="1"/>
      <c r="U261" s="1"/>
      <c r="V261" s="1"/>
      <c r="W261" s="1"/>
    </row>
    <row r="262" spans="1:23">
      <c r="A262" s="223"/>
      <c r="B262" s="1"/>
      <c r="C262" s="1"/>
      <c r="D262" s="1"/>
      <c r="E262" s="1"/>
      <c r="F262" s="1"/>
      <c r="G262" s="1"/>
      <c r="H262" s="1"/>
      <c r="I262" s="1"/>
      <c r="J262" s="1"/>
      <c r="K262" s="1"/>
      <c r="L262" s="1"/>
      <c r="M262" s="1"/>
      <c r="N262" s="1"/>
      <c r="O262" s="1"/>
      <c r="P262" s="1"/>
      <c r="Q262" s="1"/>
      <c r="R262" s="1"/>
      <c r="S262" s="1"/>
      <c r="T262" s="1"/>
      <c r="U262" s="1"/>
      <c r="V262" s="1"/>
      <c r="W262" s="1"/>
    </row>
    <row r="263" spans="1:23">
      <c r="A263" s="223"/>
      <c r="B263" s="1"/>
      <c r="C263" s="1"/>
      <c r="D263" s="1"/>
      <c r="E263" s="1"/>
      <c r="F263" s="1"/>
      <c r="G263" s="1"/>
      <c r="H263" s="1"/>
      <c r="I263" s="1"/>
      <c r="J263" s="1"/>
      <c r="K263" s="1"/>
      <c r="L263" s="1"/>
      <c r="M263" s="1"/>
      <c r="N263" s="1"/>
      <c r="O263" s="1"/>
      <c r="P263" s="1"/>
      <c r="Q263" s="1"/>
      <c r="R263" s="1"/>
      <c r="S263" s="1"/>
      <c r="T263" s="1"/>
      <c r="U263" s="1"/>
      <c r="V263" s="1"/>
      <c r="W263" s="1"/>
    </row>
    <row r="264" spans="1:23">
      <c r="A264" s="223"/>
      <c r="B264" s="1"/>
      <c r="C264" s="1"/>
      <c r="D264" s="1"/>
      <c r="E264" s="1"/>
      <c r="F264" s="1"/>
      <c r="G264" s="1"/>
      <c r="H264" s="1"/>
      <c r="I264" s="1"/>
      <c r="J264" s="1"/>
      <c r="K264" s="1"/>
      <c r="L264" s="1"/>
      <c r="M264" s="1"/>
      <c r="N264" s="1"/>
      <c r="O264" s="1"/>
      <c r="P264" s="1"/>
      <c r="Q264" s="1"/>
      <c r="R264" s="1"/>
      <c r="S264" s="1"/>
      <c r="T264" s="1"/>
      <c r="U264" s="1"/>
      <c r="V264" s="1"/>
      <c r="W264" s="1"/>
    </row>
    <row r="265" spans="1:23">
      <c r="A265" s="223"/>
      <c r="B265" s="1"/>
      <c r="C265" s="1"/>
      <c r="D265" s="1"/>
      <c r="E265" s="1"/>
      <c r="F265" s="1"/>
      <c r="G265" s="1"/>
      <c r="H265" s="1"/>
      <c r="I265" s="1"/>
      <c r="J265" s="1"/>
      <c r="K265" s="1"/>
      <c r="L265" s="1"/>
      <c r="M265" s="1"/>
      <c r="N265" s="1"/>
      <c r="O265" s="1"/>
      <c r="P265" s="1"/>
      <c r="Q265" s="1"/>
      <c r="R265" s="1"/>
      <c r="S265" s="1"/>
      <c r="T265" s="1"/>
      <c r="U265" s="1"/>
      <c r="V265" s="1"/>
      <c r="W265" s="1"/>
    </row>
    <row r="266" spans="1:23">
      <c r="A266" s="223"/>
      <c r="B266" s="1"/>
      <c r="C266" s="1"/>
      <c r="D266" s="1"/>
      <c r="E266" s="1"/>
      <c r="F266" s="1"/>
      <c r="G266" s="1"/>
      <c r="H266" s="1"/>
      <c r="I266" s="1"/>
      <c r="J266" s="1"/>
      <c r="K266" s="1"/>
      <c r="L266" s="1"/>
      <c r="M266" s="1"/>
      <c r="N266" s="1"/>
      <c r="O266" s="1"/>
      <c r="P266" s="1"/>
      <c r="Q266" s="1"/>
      <c r="R266" s="1"/>
      <c r="S266" s="1"/>
      <c r="T266" s="1"/>
      <c r="U266" s="1"/>
      <c r="V266" s="1"/>
      <c r="W266" s="1"/>
    </row>
    <row r="267" spans="1:23">
      <c r="A267" s="223"/>
      <c r="B267" s="1"/>
      <c r="C267" s="1"/>
      <c r="D267" s="1"/>
      <c r="E267" s="1"/>
      <c r="F267" s="1"/>
      <c r="G267" s="1"/>
      <c r="H267" s="1"/>
      <c r="I267" s="1"/>
      <c r="J267" s="1"/>
      <c r="K267" s="1"/>
      <c r="L267" s="1"/>
      <c r="M267" s="1"/>
      <c r="N267" s="1"/>
      <c r="O267" s="1"/>
      <c r="P267" s="1"/>
      <c r="Q267" s="1"/>
      <c r="R267" s="1"/>
      <c r="S267" s="1"/>
      <c r="T267" s="1"/>
      <c r="U267" s="1"/>
      <c r="V267" s="1"/>
      <c r="W267" s="1"/>
    </row>
    <row r="268" spans="1:23">
      <c r="A268" s="223"/>
      <c r="B268" s="1"/>
      <c r="C268" s="1"/>
      <c r="D268" s="1"/>
      <c r="E268" s="1"/>
      <c r="F268" s="1"/>
      <c r="G268" s="1"/>
      <c r="H268" s="1"/>
      <c r="I268" s="1"/>
      <c r="J268" s="1"/>
      <c r="K268" s="1"/>
      <c r="L268" s="1"/>
      <c r="M268" s="1"/>
      <c r="N268" s="1"/>
      <c r="O268" s="1"/>
      <c r="P268" s="1"/>
      <c r="Q268" s="1"/>
      <c r="R268" s="1"/>
      <c r="S268" s="1"/>
      <c r="T268" s="1"/>
      <c r="U268" s="1"/>
      <c r="V268" s="1"/>
      <c r="W268" s="1"/>
    </row>
    <row r="269" spans="1:23">
      <c r="A269" s="223"/>
      <c r="B269" s="1"/>
      <c r="C269" s="1"/>
      <c r="D269" s="1"/>
      <c r="E269" s="1"/>
      <c r="F269" s="1"/>
      <c r="G269" s="1"/>
      <c r="H269" s="1"/>
      <c r="I269" s="1"/>
      <c r="J269" s="1"/>
      <c r="K269" s="1"/>
      <c r="L269" s="1"/>
      <c r="M269" s="1"/>
      <c r="N269" s="1"/>
      <c r="O269" s="1"/>
      <c r="P269" s="1"/>
      <c r="Q269" s="1"/>
      <c r="R269" s="1"/>
      <c r="S269" s="1"/>
      <c r="T269" s="1"/>
      <c r="U269" s="1"/>
      <c r="V269" s="1"/>
      <c r="W269" s="1"/>
    </row>
    <row r="270" spans="1:23">
      <c r="A270" s="223"/>
      <c r="B270" s="1"/>
      <c r="C270" s="1"/>
      <c r="D270" s="1"/>
      <c r="E270" s="1"/>
      <c r="F270" s="1"/>
      <c r="G270" s="1"/>
      <c r="H270" s="1"/>
      <c r="I270" s="1"/>
      <c r="J270" s="1"/>
      <c r="K270" s="1"/>
      <c r="L270" s="1"/>
      <c r="M270" s="1"/>
      <c r="N270" s="1"/>
      <c r="O270" s="1"/>
      <c r="P270" s="1"/>
      <c r="Q270" s="1"/>
      <c r="R270" s="1"/>
      <c r="S270" s="1"/>
      <c r="T270" s="1"/>
      <c r="U270" s="1"/>
      <c r="V270" s="1"/>
      <c r="W270" s="1"/>
    </row>
    <row r="271" spans="1:23">
      <c r="A271" s="223"/>
      <c r="B271" s="1"/>
      <c r="C271" s="1"/>
      <c r="D271" s="1"/>
      <c r="E271" s="1"/>
      <c r="F271" s="1"/>
      <c r="G271" s="1"/>
      <c r="H271" s="1"/>
      <c r="I271" s="1"/>
      <c r="J271" s="1"/>
      <c r="K271" s="1"/>
      <c r="L271" s="1"/>
      <c r="M271" s="1"/>
      <c r="N271" s="1"/>
      <c r="O271" s="1"/>
      <c r="P271" s="1"/>
      <c r="Q271" s="1"/>
      <c r="R271" s="1"/>
      <c r="S271" s="1"/>
      <c r="T271" s="1"/>
      <c r="U271" s="1"/>
      <c r="V271" s="1"/>
      <c r="W271" s="1"/>
    </row>
    <row r="272" spans="1:23">
      <c r="A272" s="223"/>
      <c r="B272" s="1"/>
      <c r="C272" s="1"/>
      <c r="D272" s="1"/>
      <c r="E272" s="1"/>
      <c r="F272" s="1"/>
      <c r="G272" s="1"/>
      <c r="H272" s="1"/>
      <c r="I272" s="1"/>
      <c r="J272" s="1"/>
      <c r="K272" s="1"/>
      <c r="L272" s="1"/>
      <c r="M272" s="1"/>
      <c r="N272" s="1"/>
      <c r="O272" s="1"/>
      <c r="P272" s="1"/>
      <c r="Q272" s="1"/>
      <c r="R272" s="1"/>
      <c r="S272" s="1"/>
      <c r="T272" s="1"/>
      <c r="U272" s="1"/>
      <c r="V272" s="1"/>
      <c r="W272" s="1"/>
    </row>
    <row r="273" spans="1:23">
      <c r="A273" s="223"/>
      <c r="B273" s="1"/>
      <c r="C273" s="1"/>
      <c r="D273" s="1"/>
      <c r="E273" s="1"/>
      <c r="F273" s="1"/>
      <c r="G273" s="1"/>
      <c r="H273" s="1"/>
      <c r="I273" s="1"/>
      <c r="J273" s="1"/>
      <c r="K273" s="1"/>
      <c r="L273" s="1"/>
      <c r="M273" s="1"/>
      <c r="N273" s="1"/>
      <c r="O273" s="1"/>
      <c r="P273" s="1"/>
      <c r="Q273" s="1"/>
      <c r="R273" s="1"/>
      <c r="S273" s="1"/>
      <c r="T273" s="1"/>
      <c r="U273" s="1"/>
      <c r="V273" s="1"/>
      <c r="W273" s="1"/>
    </row>
    <row r="274" spans="1:23">
      <c r="A274" s="223"/>
      <c r="B274" s="1"/>
      <c r="C274" s="1"/>
      <c r="D274" s="1"/>
      <c r="E274" s="1"/>
      <c r="F274" s="1"/>
      <c r="G274" s="1"/>
      <c r="H274" s="1"/>
      <c r="I274" s="1"/>
      <c r="J274" s="1"/>
      <c r="K274" s="1"/>
      <c r="L274" s="1"/>
      <c r="M274" s="1"/>
      <c r="N274" s="1"/>
      <c r="O274" s="1"/>
      <c r="P274" s="1"/>
      <c r="Q274" s="1"/>
      <c r="R274" s="1"/>
      <c r="S274" s="1"/>
      <c r="T274" s="1"/>
      <c r="U274" s="1"/>
      <c r="V274" s="1"/>
      <c r="W274" s="1"/>
    </row>
    <row r="275" spans="1:23">
      <c r="A275" s="223"/>
      <c r="B275" s="1"/>
      <c r="C275" s="1"/>
      <c r="D275" s="1"/>
      <c r="E275" s="1"/>
      <c r="F275" s="1"/>
      <c r="G275" s="1"/>
      <c r="H275" s="1"/>
      <c r="I275" s="1"/>
      <c r="J275" s="1"/>
      <c r="K275" s="1"/>
      <c r="L275" s="1"/>
      <c r="M275" s="1"/>
      <c r="N275" s="1"/>
      <c r="O275" s="1"/>
      <c r="P275" s="1"/>
      <c r="Q275" s="1"/>
      <c r="R275" s="1"/>
      <c r="S275" s="1"/>
      <c r="T275" s="1"/>
      <c r="U275" s="1"/>
      <c r="V275" s="1"/>
      <c r="W275" s="1"/>
    </row>
    <row r="276" spans="1:23">
      <c r="A276" s="223"/>
      <c r="B276" s="1"/>
      <c r="C276" s="1"/>
      <c r="D276" s="1"/>
      <c r="E276" s="1"/>
      <c r="F276" s="1"/>
      <c r="G276" s="1"/>
      <c r="H276" s="1"/>
      <c r="I276" s="1"/>
      <c r="J276" s="1"/>
      <c r="K276" s="1"/>
      <c r="L276" s="1"/>
      <c r="M276" s="1"/>
      <c r="N276" s="1"/>
      <c r="O276" s="1"/>
      <c r="P276" s="1"/>
      <c r="Q276" s="1"/>
      <c r="R276" s="1"/>
      <c r="S276" s="1"/>
      <c r="T276" s="1"/>
      <c r="U276" s="1"/>
      <c r="V276" s="1"/>
      <c r="W276" s="1"/>
    </row>
    <row r="277" spans="1:23">
      <c r="A277" s="223"/>
      <c r="B277" s="1"/>
      <c r="C277" s="1"/>
      <c r="D277" s="1"/>
      <c r="E277" s="1"/>
      <c r="F277" s="1"/>
      <c r="G277" s="1"/>
      <c r="H277" s="1"/>
      <c r="I277" s="1"/>
      <c r="J277" s="1"/>
      <c r="K277" s="1"/>
      <c r="L277" s="1"/>
      <c r="M277" s="1"/>
      <c r="N277" s="1"/>
      <c r="O277" s="1"/>
      <c r="P277" s="1"/>
      <c r="Q277" s="1"/>
      <c r="R277" s="1"/>
      <c r="S277" s="1"/>
      <c r="T277" s="1"/>
      <c r="U277" s="1"/>
      <c r="V277" s="1"/>
      <c r="W277" s="1"/>
    </row>
    <row r="278" spans="1:23">
      <c r="A278" s="223"/>
      <c r="B278" s="1"/>
      <c r="C278" s="1"/>
      <c r="D278" s="1"/>
      <c r="E278" s="1"/>
      <c r="F278" s="1"/>
      <c r="G278" s="1"/>
      <c r="H278" s="1"/>
      <c r="I278" s="1"/>
      <c r="J278" s="1"/>
      <c r="K278" s="1"/>
      <c r="L278" s="1"/>
      <c r="M278" s="1"/>
      <c r="N278" s="1"/>
      <c r="O278" s="1"/>
      <c r="P278" s="1"/>
      <c r="Q278" s="1"/>
      <c r="R278" s="1"/>
      <c r="S278" s="1"/>
      <c r="T278" s="1"/>
      <c r="U278" s="1"/>
      <c r="V278" s="1"/>
      <c r="W278" s="1"/>
    </row>
    <row r="279" spans="1:23">
      <c r="A279" s="223"/>
      <c r="B279" s="1"/>
      <c r="C279" s="1"/>
      <c r="D279" s="1"/>
      <c r="E279" s="1"/>
      <c r="F279" s="1"/>
      <c r="G279" s="1"/>
      <c r="H279" s="1"/>
      <c r="I279" s="1"/>
      <c r="J279" s="1"/>
      <c r="K279" s="1"/>
      <c r="L279" s="1"/>
      <c r="M279" s="1"/>
      <c r="N279" s="1"/>
      <c r="O279" s="1"/>
      <c r="P279" s="1"/>
      <c r="Q279" s="1"/>
      <c r="R279" s="1"/>
      <c r="S279" s="1"/>
      <c r="T279" s="1"/>
      <c r="U279" s="1"/>
      <c r="V279" s="1"/>
      <c r="W279" s="1"/>
    </row>
    <row r="280" spans="1:23">
      <c r="A280" s="223"/>
      <c r="B280" s="1"/>
      <c r="C280" s="1"/>
      <c r="D280" s="1"/>
      <c r="E280" s="1"/>
      <c r="F280" s="1"/>
      <c r="G280" s="1"/>
      <c r="H280" s="1"/>
      <c r="I280" s="1"/>
      <c r="J280" s="1"/>
      <c r="K280" s="1"/>
      <c r="L280" s="1"/>
      <c r="M280" s="1"/>
      <c r="N280" s="1"/>
      <c r="O280" s="1"/>
      <c r="P280" s="1"/>
      <c r="Q280" s="1"/>
      <c r="R280" s="1"/>
      <c r="S280" s="1"/>
      <c r="T280" s="1"/>
      <c r="U280" s="1"/>
      <c r="V280" s="1"/>
      <c r="W280" s="1"/>
    </row>
    <row r="281" spans="1:23">
      <c r="A281" s="223"/>
      <c r="B281" s="1"/>
      <c r="C281" s="1"/>
      <c r="D281" s="1"/>
      <c r="E281" s="1"/>
      <c r="F281" s="1"/>
      <c r="G281" s="1"/>
      <c r="H281" s="1"/>
      <c r="I281" s="1"/>
      <c r="J281" s="1"/>
      <c r="K281" s="1"/>
      <c r="L281" s="1"/>
      <c r="M281" s="1"/>
      <c r="N281" s="1"/>
      <c r="O281" s="1"/>
      <c r="P281" s="1"/>
      <c r="Q281" s="1"/>
      <c r="R281" s="1"/>
      <c r="S281" s="1"/>
      <c r="T281" s="1"/>
      <c r="U281" s="1"/>
      <c r="V281" s="1"/>
      <c r="W281" s="1"/>
    </row>
    <row r="282" spans="1:23">
      <c r="A282" s="223"/>
      <c r="B282" s="1"/>
      <c r="C282" s="1"/>
      <c r="D282" s="1"/>
      <c r="E282" s="1"/>
      <c r="F282" s="1"/>
      <c r="G282" s="1"/>
      <c r="H282" s="1"/>
      <c r="I282" s="1"/>
      <c r="J282" s="1"/>
      <c r="K282" s="1"/>
      <c r="L282" s="1"/>
      <c r="M282" s="1"/>
      <c r="N282" s="1"/>
      <c r="O282" s="1"/>
      <c r="P282" s="1"/>
      <c r="Q282" s="1"/>
      <c r="R282" s="1"/>
      <c r="S282" s="1"/>
      <c r="T282" s="1"/>
      <c r="U282" s="1"/>
      <c r="V282" s="1"/>
      <c r="W282" s="1"/>
    </row>
    <row r="283" spans="1:23">
      <c r="A283" s="223"/>
      <c r="B283" s="1"/>
      <c r="C283" s="1"/>
      <c r="D283" s="1"/>
      <c r="E283" s="1"/>
      <c r="F283" s="1"/>
      <c r="G283" s="1"/>
      <c r="H283" s="1"/>
      <c r="I283" s="1"/>
      <c r="J283" s="1"/>
      <c r="K283" s="1"/>
      <c r="L283" s="1"/>
      <c r="M283" s="1"/>
      <c r="N283" s="1"/>
      <c r="O283" s="1"/>
      <c r="P283" s="1"/>
      <c r="Q283" s="1"/>
      <c r="R283" s="1"/>
      <c r="S283" s="1"/>
      <c r="T283" s="1"/>
      <c r="U283" s="1"/>
      <c r="V283" s="1"/>
      <c r="W283" s="1"/>
    </row>
    <row r="284" spans="1:23">
      <c r="A284" s="223"/>
      <c r="B284" s="1"/>
      <c r="C284" s="1"/>
      <c r="D284" s="1"/>
      <c r="E284" s="1"/>
      <c r="F284" s="1"/>
      <c r="G284" s="1"/>
      <c r="H284" s="1"/>
      <c r="I284" s="1"/>
      <c r="J284" s="1"/>
      <c r="K284" s="1"/>
      <c r="L284" s="1"/>
      <c r="M284" s="1"/>
      <c r="N284" s="1"/>
      <c r="O284" s="1"/>
      <c r="P284" s="1"/>
      <c r="Q284" s="1"/>
      <c r="R284" s="1"/>
      <c r="S284" s="1"/>
      <c r="T284" s="1"/>
      <c r="U284" s="1"/>
      <c r="V284" s="1"/>
      <c r="W284" s="1"/>
    </row>
    <row r="285" spans="1:23">
      <c r="A285" s="223"/>
      <c r="B285" s="1"/>
      <c r="C285" s="1"/>
      <c r="D285" s="1"/>
      <c r="E285" s="1"/>
      <c r="F285" s="1"/>
      <c r="G285" s="1"/>
      <c r="H285" s="1"/>
      <c r="I285" s="1"/>
      <c r="J285" s="1"/>
      <c r="K285" s="1"/>
      <c r="L285" s="1"/>
      <c r="M285" s="1"/>
      <c r="N285" s="1"/>
      <c r="O285" s="1"/>
      <c r="P285" s="1"/>
      <c r="Q285" s="1"/>
      <c r="R285" s="1"/>
      <c r="S285" s="1"/>
      <c r="T285" s="1"/>
      <c r="U285" s="1"/>
      <c r="V285" s="1"/>
      <c r="W285" s="1"/>
    </row>
    <row r="286" spans="1:23">
      <c r="A286" s="223"/>
      <c r="B286" s="1"/>
      <c r="C286" s="1"/>
      <c r="D286" s="1"/>
      <c r="E286" s="1"/>
      <c r="F286" s="1"/>
      <c r="G286" s="1"/>
      <c r="H286" s="1"/>
      <c r="I286" s="1"/>
      <c r="J286" s="1"/>
      <c r="K286" s="1"/>
      <c r="L286" s="1"/>
      <c r="M286" s="1"/>
      <c r="N286" s="1"/>
      <c r="O286" s="1"/>
      <c r="P286" s="1"/>
      <c r="Q286" s="1"/>
      <c r="R286" s="1"/>
      <c r="S286" s="1"/>
      <c r="T286" s="1"/>
      <c r="U286" s="1"/>
      <c r="V286" s="1"/>
      <c r="W286" s="1"/>
    </row>
    <row r="287" spans="1:23">
      <c r="A287" s="223"/>
      <c r="B287" s="1"/>
      <c r="C287" s="1"/>
      <c r="D287" s="1"/>
      <c r="E287" s="1"/>
      <c r="F287" s="1"/>
      <c r="G287" s="1"/>
      <c r="H287" s="1"/>
      <c r="I287" s="1"/>
      <c r="J287" s="1"/>
      <c r="K287" s="1"/>
      <c r="L287" s="1"/>
      <c r="M287" s="1"/>
      <c r="N287" s="1"/>
      <c r="O287" s="1"/>
      <c r="P287" s="1"/>
      <c r="Q287" s="1"/>
      <c r="R287" s="1"/>
      <c r="S287" s="1"/>
      <c r="T287" s="1"/>
      <c r="U287" s="1"/>
      <c r="V287" s="1"/>
      <c r="W287" s="1"/>
    </row>
    <row r="288" spans="1:23">
      <c r="A288" s="223"/>
      <c r="B288" s="1"/>
      <c r="C288" s="1"/>
      <c r="D288" s="1"/>
      <c r="E288" s="1"/>
      <c r="F288" s="1"/>
      <c r="G288" s="1"/>
      <c r="H288" s="1"/>
      <c r="I288" s="1"/>
      <c r="J288" s="1"/>
      <c r="K288" s="1"/>
      <c r="L288" s="1"/>
      <c r="M288" s="1"/>
      <c r="N288" s="1"/>
      <c r="O288" s="1"/>
      <c r="P288" s="1"/>
      <c r="Q288" s="1"/>
      <c r="R288" s="1"/>
      <c r="S288" s="1"/>
      <c r="T288" s="1"/>
      <c r="U288" s="1"/>
      <c r="V288" s="1"/>
      <c r="W288" s="1"/>
    </row>
    <row r="289" spans="1:23">
      <c r="A289" s="223"/>
      <c r="B289" s="1"/>
      <c r="C289" s="1"/>
      <c r="D289" s="1"/>
      <c r="E289" s="1"/>
      <c r="F289" s="1"/>
      <c r="G289" s="1"/>
      <c r="H289" s="1"/>
      <c r="I289" s="1"/>
      <c r="J289" s="1"/>
      <c r="K289" s="1"/>
      <c r="L289" s="1"/>
      <c r="M289" s="1"/>
      <c r="N289" s="1"/>
      <c r="O289" s="1"/>
      <c r="P289" s="1"/>
      <c r="Q289" s="1"/>
      <c r="R289" s="1"/>
      <c r="S289" s="1"/>
      <c r="T289" s="1"/>
      <c r="U289" s="1"/>
      <c r="V289" s="1"/>
      <c r="W289" s="1"/>
    </row>
    <row r="290" spans="1:23">
      <c r="A290" s="223"/>
      <c r="B290" s="1"/>
      <c r="C290" s="1"/>
      <c r="D290" s="1"/>
      <c r="E290" s="1"/>
      <c r="F290" s="1"/>
      <c r="G290" s="1"/>
      <c r="H290" s="1"/>
      <c r="I290" s="1"/>
      <c r="J290" s="1"/>
      <c r="K290" s="1"/>
      <c r="L290" s="1"/>
      <c r="M290" s="1"/>
      <c r="N290" s="1"/>
      <c r="O290" s="1"/>
      <c r="P290" s="1"/>
      <c r="Q290" s="1"/>
      <c r="R290" s="1"/>
      <c r="S290" s="1"/>
      <c r="T290" s="1"/>
      <c r="U290" s="1"/>
      <c r="V290" s="1"/>
      <c r="W290" s="1"/>
    </row>
    <row r="291" spans="1:23">
      <c r="A291" s="223"/>
      <c r="B291" s="1"/>
      <c r="C291" s="1"/>
      <c r="D291" s="1"/>
      <c r="E291" s="1"/>
      <c r="F291" s="1"/>
      <c r="G291" s="1"/>
      <c r="H291" s="1"/>
      <c r="I291" s="1"/>
      <c r="J291" s="1"/>
      <c r="K291" s="1"/>
      <c r="L291" s="1"/>
      <c r="M291" s="1"/>
      <c r="N291" s="1"/>
      <c r="O291" s="1"/>
      <c r="P291" s="1"/>
      <c r="Q291" s="1"/>
      <c r="R291" s="1"/>
      <c r="S291" s="1"/>
      <c r="T291" s="1"/>
      <c r="U291" s="1"/>
      <c r="V291" s="1"/>
      <c r="W291" s="1"/>
    </row>
    <row r="292" spans="1:23">
      <c r="A292" s="223"/>
      <c r="B292" s="1"/>
      <c r="C292" s="1"/>
      <c r="D292" s="1"/>
      <c r="E292" s="1"/>
      <c r="F292" s="1"/>
      <c r="G292" s="1"/>
      <c r="H292" s="1"/>
      <c r="I292" s="1"/>
      <c r="J292" s="1"/>
      <c r="K292" s="1"/>
      <c r="L292" s="1"/>
      <c r="M292" s="1"/>
      <c r="N292" s="1"/>
      <c r="O292" s="1"/>
      <c r="P292" s="1"/>
      <c r="Q292" s="1"/>
      <c r="R292" s="1"/>
      <c r="S292" s="1"/>
      <c r="T292" s="1"/>
      <c r="U292" s="1"/>
      <c r="V292" s="1"/>
      <c r="W292" s="1"/>
    </row>
    <row r="293" spans="1:23">
      <c r="A293" s="223"/>
      <c r="B293" s="1"/>
      <c r="C293" s="1"/>
      <c r="D293" s="1"/>
      <c r="E293" s="1"/>
      <c r="F293" s="1"/>
      <c r="G293" s="1"/>
      <c r="H293" s="1"/>
      <c r="I293" s="1"/>
      <c r="J293" s="1"/>
      <c r="K293" s="1"/>
      <c r="L293" s="1"/>
      <c r="M293" s="1"/>
      <c r="N293" s="1"/>
      <c r="O293" s="1"/>
      <c r="P293" s="1"/>
      <c r="Q293" s="1"/>
      <c r="R293" s="1"/>
      <c r="S293" s="1"/>
      <c r="T293" s="1"/>
      <c r="U293" s="1"/>
      <c r="V293" s="1"/>
      <c r="W293" s="1"/>
    </row>
    <row r="294" spans="1:23">
      <c r="A294" s="223"/>
      <c r="B294" s="1"/>
      <c r="C294" s="1"/>
      <c r="D294" s="1"/>
      <c r="E294" s="1"/>
      <c r="F294" s="1"/>
      <c r="G294" s="1"/>
      <c r="H294" s="1"/>
      <c r="I294" s="1"/>
      <c r="J294" s="1"/>
      <c r="K294" s="1"/>
      <c r="L294" s="1"/>
      <c r="M294" s="1"/>
      <c r="N294" s="1"/>
      <c r="O294" s="1"/>
      <c r="P294" s="1"/>
      <c r="Q294" s="1"/>
      <c r="R294" s="1"/>
      <c r="S294" s="1"/>
      <c r="T294" s="1"/>
      <c r="U294" s="1"/>
      <c r="V294" s="1"/>
      <c r="W294" s="1"/>
    </row>
    <row r="295" spans="1:23">
      <c r="A295" s="223"/>
      <c r="B295" s="1"/>
      <c r="C295" s="1"/>
      <c r="D295" s="1"/>
      <c r="E295" s="1"/>
      <c r="F295" s="1"/>
      <c r="G295" s="1"/>
      <c r="H295" s="1"/>
      <c r="I295" s="1"/>
      <c r="J295" s="1"/>
      <c r="K295" s="1"/>
      <c r="L295" s="1"/>
      <c r="M295" s="1"/>
      <c r="N295" s="1"/>
      <c r="O295" s="1"/>
      <c r="P295" s="1"/>
      <c r="Q295" s="1"/>
      <c r="R295" s="1"/>
      <c r="S295" s="1"/>
      <c r="T295" s="1"/>
      <c r="U295" s="1"/>
      <c r="V295" s="1"/>
      <c r="W295" s="1"/>
    </row>
    <row r="296" spans="1:23">
      <c r="A296" s="223"/>
      <c r="B296" s="1"/>
      <c r="C296" s="1"/>
      <c r="D296" s="1"/>
      <c r="E296" s="1"/>
      <c r="F296" s="1"/>
      <c r="G296" s="1"/>
      <c r="H296" s="1"/>
      <c r="I296" s="1"/>
      <c r="J296" s="1"/>
      <c r="K296" s="1"/>
      <c r="L296" s="1"/>
      <c r="M296" s="1"/>
      <c r="N296" s="1"/>
      <c r="O296" s="1"/>
      <c r="P296" s="1"/>
      <c r="Q296" s="1"/>
      <c r="R296" s="1"/>
      <c r="S296" s="1"/>
      <c r="T296" s="1"/>
      <c r="U296" s="1"/>
      <c r="V296" s="1"/>
      <c r="W296" s="1"/>
    </row>
    <row r="297" spans="1:23">
      <c r="A297" s="223"/>
      <c r="B297" s="1"/>
      <c r="C297" s="1"/>
      <c r="D297" s="1"/>
      <c r="E297" s="1"/>
      <c r="F297" s="1"/>
      <c r="G297" s="1"/>
      <c r="H297" s="1"/>
      <c r="I297" s="1"/>
      <c r="J297" s="1"/>
      <c r="K297" s="1"/>
      <c r="L297" s="1"/>
      <c r="M297" s="1"/>
      <c r="N297" s="1"/>
      <c r="O297" s="1"/>
      <c r="P297" s="1"/>
      <c r="Q297" s="1"/>
      <c r="R297" s="1"/>
      <c r="S297" s="1"/>
      <c r="T297" s="1"/>
      <c r="U297" s="1"/>
      <c r="V297" s="1"/>
      <c r="W297" s="1"/>
    </row>
    <row r="298" spans="1:23">
      <c r="A298" s="223"/>
      <c r="B298" s="1"/>
      <c r="C298" s="1"/>
      <c r="D298" s="1"/>
      <c r="E298" s="1"/>
      <c r="F298" s="1"/>
      <c r="G298" s="1"/>
      <c r="H298" s="1"/>
      <c r="I298" s="1"/>
      <c r="J298" s="1"/>
      <c r="K298" s="1"/>
      <c r="L298" s="1"/>
      <c r="M298" s="1"/>
      <c r="N298" s="1"/>
      <c r="O298" s="1"/>
      <c r="P298" s="1"/>
      <c r="Q298" s="1"/>
      <c r="R298" s="1"/>
      <c r="S298" s="1"/>
      <c r="T298" s="1"/>
      <c r="U298" s="1"/>
      <c r="V298" s="1"/>
      <c r="W298" s="1"/>
    </row>
    <row r="299" spans="1:23">
      <c r="A299" s="223"/>
      <c r="B299" s="1"/>
      <c r="C299" s="1"/>
      <c r="D299" s="1"/>
      <c r="E299" s="1"/>
      <c r="F299" s="1"/>
      <c r="G299" s="1"/>
      <c r="H299" s="1"/>
      <c r="I299" s="1"/>
      <c r="J299" s="1"/>
      <c r="K299" s="1"/>
      <c r="L299" s="1"/>
      <c r="M299" s="1"/>
      <c r="N299" s="1"/>
      <c r="O299" s="1"/>
      <c r="P299" s="1"/>
      <c r="Q299" s="1"/>
      <c r="R299" s="1"/>
      <c r="S299" s="1"/>
      <c r="T299" s="1"/>
      <c r="U299" s="1"/>
      <c r="V299" s="1"/>
      <c r="W299" s="1"/>
    </row>
    <row r="300" spans="1:23">
      <c r="A300" s="223"/>
      <c r="B300" s="1"/>
      <c r="C300" s="1"/>
      <c r="D300" s="1"/>
      <c r="E300" s="1"/>
      <c r="F300" s="1"/>
      <c r="G300" s="1"/>
      <c r="H300" s="1"/>
      <c r="I300" s="1"/>
      <c r="J300" s="1"/>
      <c r="K300" s="1"/>
      <c r="L300" s="1"/>
      <c r="M300" s="1"/>
      <c r="N300" s="1"/>
      <c r="O300" s="1"/>
      <c r="P300" s="1"/>
      <c r="Q300" s="1"/>
      <c r="R300" s="1"/>
      <c r="S300" s="1"/>
      <c r="T300" s="1"/>
      <c r="U300" s="1"/>
      <c r="V300" s="1"/>
      <c r="W300" s="1"/>
    </row>
    <row r="301" spans="1:23">
      <c r="A301" s="223"/>
      <c r="B301" s="1"/>
      <c r="C301" s="1"/>
      <c r="D301" s="1"/>
      <c r="E301" s="1"/>
      <c r="F301" s="1"/>
      <c r="G301" s="1"/>
      <c r="H301" s="1"/>
      <c r="I301" s="1"/>
      <c r="J301" s="1"/>
      <c r="K301" s="1"/>
      <c r="L301" s="1"/>
      <c r="M301" s="1"/>
      <c r="N301" s="1"/>
      <c r="O301" s="1"/>
      <c r="P301" s="1"/>
      <c r="Q301" s="1"/>
      <c r="R301" s="1"/>
      <c r="S301" s="1"/>
      <c r="T301" s="1"/>
      <c r="U301" s="1"/>
      <c r="V301" s="1"/>
      <c r="W301" s="1"/>
    </row>
    <row r="302" spans="1:23">
      <c r="A302" s="223"/>
      <c r="B302" s="1"/>
      <c r="C302" s="1"/>
      <c r="D302" s="1"/>
      <c r="E302" s="1"/>
      <c r="F302" s="1"/>
      <c r="G302" s="1"/>
      <c r="H302" s="1"/>
      <c r="I302" s="1"/>
      <c r="J302" s="1"/>
      <c r="K302" s="1"/>
      <c r="L302" s="1"/>
      <c r="M302" s="1"/>
      <c r="N302" s="1"/>
      <c r="O302" s="1"/>
      <c r="P302" s="1"/>
      <c r="Q302" s="1"/>
      <c r="R302" s="1"/>
      <c r="S302" s="1"/>
      <c r="T302" s="1"/>
      <c r="U302" s="1"/>
      <c r="V302" s="1"/>
      <c r="W302" s="1"/>
    </row>
    <row r="303" spans="1:23">
      <c r="A303" s="223"/>
      <c r="B303" s="1"/>
      <c r="C303" s="1"/>
      <c r="D303" s="1"/>
      <c r="E303" s="1"/>
      <c r="F303" s="1"/>
      <c r="G303" s="1"/>
      <c r="H303" s="1"/>
      <c r="I303" s="1"/>
      <c r="J303" s="1"/>
      <c r="K303" s="1"/>
      <c r="L303" s="1"/>
      <c r="M303" s="1"/>
      <c r="N303" s="1"/>
      <c r="O303" s="1"/>
      <c r="P303" s="1"/>
      <c r="Q303" s="1"/>
      <c r="R303" s="1"/>
      <c r="S303" s="1"/>
      <c r="T303" s="1"/>
      <c r="U303" s="1"/>
      <c r="V303" s="1"/>
      <c r="W303" s="1"/>
    </row>
    <row r="304" spans="1:23">
      <c r="A304" s="223"/>
      <c r="B304" s="1"/>
      <c r="C304" s="1"/>
      <c r="D304" s="1"/>
      <c r="E304" s="1"/>
      <c r="F304" s="1"/>
      <c r="G304" s="1"/>
      <c r="H304" s="1"/>
      <c r="I304" s="1"/>
      <c r="J304" s="1"/>
      <c r="K304" s="1"/>
      <c r="L304" s="1"/>
      <c r="M304" s="1"/>
      <c r="N304" s="1"/>
      <c r="O304" s="1"/>
      <c r="P304" s="1"/>
      <c r="Q304" s="1"/>
      <c r="R304" s="1"/>
      <c r="S304" s="1"/>
      <c r="T304" s="1"/>
      <c r="U304" s="1"/>
      <c r="V304" s="1"/>
      <c r="W304" s="1"/>
    </row>
    <row r="305" spans="1:23">
      <c r="A305" s="223"/>
      <c r="B305" s="1"/>
      <c r="C305" s="1"/>
      <c r="D305" s="1"/>
      <c r="E305" s="1"/>
      <c r="F305" s="1"/>
      <c r="G305" s="1"/>
      <c r="H305" s="1"/>
      <c r="I305" s="1"/>
      <c r="J305" s="1"/>
      <c r="K305" s="1"/>
      <c r="L305" s="1"/>
      <c r="M305" s="1"/>
      <c r="N305" s="1"/>
      <c r="O305" s="1"/>
      <c r="P305" s="1"/>
      <c r="Q305" s="1"/>
      <c r="R305" s="1"/>
      <c r="S305" s="1"/>
      <c r="T305" s="1"/>
      <c r="U305" s="1"/>
      <c r="V305" s="1"/>
      <c r="W305" s="1"/>
    </row>
    <row r="306" spans="1:23">
      <c r="A306" s="223"/>
      <c r="B306" s="1"/>
      <c r="C306" s="1"/>
      <c r="D306" s="1"/>
      <c r="E306" s="1"/>
      <c r="F306" s="1"/>
      <c r="G306" s="1"/>
      <c r="H306" s="1"/>
      <c r="I306" s="1"/>
      <c r="J306" s="1"/>
      <c r="K306" s="1"/>
      <c r="L306" s="1"/>
      <c r="M306" s="1"/>
      <c r="N306" s="1"/>
      <c r="O306" s="1"/>
      <c r="P306" s="1"/>
      <c r="Q306" s="1"/>
      <c r="R306" s="1"/>
      <c r="S306" s="1"/>
      <c r="T306" s="1"/>
      <c r="U306" s="1"/>
      <c r="V306" s="1"/>
      <c r="W306" s="1"/>
    </row>
    <row r="307" spans="1:23">
      <c r="A307" s="223"/>
      <c r="B307" s="1"/>
      <c r="C307" s="1"/>
      <c r="D307" s="1"/>
      <c r="E307" s="1"/>
      <c r="F307" s="1"/>
      <c r="G307" s="1"/>
      <c r="H307" s="1"/>
      <c r="I307" s="1"/>
      <c r="J307" s="1"/>
      <c r="K307" s="1"/>
      <c r="L307" s="1"/>
      <c r="M307" s="1"/>
      <c r="N307" s="1"/>
      <c r="O307" s="1"/>
      <c r="P307" s="1"/>
      <c r="Q307" s="1"/>
      <c r="R307" s="1"/>
      <c r="S307" s="1"/>
      <c r="T307" s="1"/>
      <c r="U307" s="1"/>
      <c r="V307" s="1"/>
      <c r="W307" s="1"/>
    </row>
    <row r="308" spans="1:23">
      <c r="A308" s="223"/>
      <c r="B308" s="1"/>
      <c r="C308" s="1"/>
      <c r="D308" s="1"/>
      <c r="E308" s="1"/>
      <c r="F308" s="1"/>
      <c r="G308" s="1"/>
      <c r="H308" s="1"/>
      <c r="I308" s="1"/>
      <c r="J308" s="1"/>
      <c r="K308" s="1"/>
      <c r="L308" s="1"/>
      <c r="M308" s="1"/>
      <c r="N308" s="1"/>
      <c r="O308" s="1"/>
      <c r="P308" s="1"/>
      <c r="Q308" s="1"/>
      <c r="R308" s="1"/>
      <c r="S308" s="1"/>
      <c r="T308" s="1"/>
      <c r="U308" s="1"/>
      <c r="V308" s="1"/>
      <c r="W308" s="1"/>
    </row>
    <row r="309" spans="1:23">
      <c r="A309" s="223"/>
      <c r="B309" s="1"/>
      <c r="C309" s="1"/>
      <c r="D309" s="1"/>
      <c r="E309" s="1"/>
      <c r="F309" s="1"/>
      <c r="G309" s="1"/>
      <c r="H309" s="1"/>
      <c r="I309" s="1"/>
      <c r="J309" s="1"/>
      <c r="K309" s="1"/>
      <c r="L309" s="1"/>
      <c r="M309" s="1"/>
      <c r="N309" s="1"/>
      <c r="O309" s="1"/>
      <c r="P309" s="1"/>
      <c r="Q309" s="1"/>
      <c r="R309" s="1"/>
      <c r="S309" s="1"/>
      <c r="T309" s="1"/>
      <c r="U309" s="1"/>
      <c r="V309" s="1"/>
      <c r="W309" s="1"/>
    </row>
    <row r="310" spans="1:23">
      <c r="A310" s="223"/>
      <c r="B310" s="1"/>
      <c r="C310" s="1"/>
      <c r="D310" s="1"/>
      <c r="E310" s="1"/>
      <c r="F310" s="1"/>
      <c r="G310" s="1"/>
      <c r="H310" s="1"/>
      <c r="I310" s="1"/>
      <c r="J310" s="1"/>
      <c r="K310" s="1"/>
      <c r="L310" s="1"/>
      <c r="M310" s="1"/>
      <c r="N310" s="1"/>
      <c r="O310" s="1"/>
      <c r="P310" s="1"/>
      <c r="Q310" s="1"/>
      <c r="R310" s="1"/>
      <c r="S310" s="1"/>
      <c r="T310" s="1"/>
      <c r="U310" s="1"/>
      <c r="V310" s="1"/>
      <c r="W310" s="1"/>
    </row>
    <row r="311" spans="1:23">
      <c r="A311" s="223"/>
      <c r="B311" s="1"/>
      <c r="C311" s="1"/>
      <c r="D311" s="1"/>
      <c r="E311" s="1"/>
      <c r="F311" s="1"/>
      <c r="G311" s="1"/>
      <c r="H311" s="1"/>
      <c r="I311" s="1"/>
      <c r="J311" s="1"/>
      <c r="K311" s="1"/>
      <c r="L311" s="1"/>
      <c r="M311" s="1"/>
      <c r="N311" s="1"/>
      <c r="O311" s="1"/>
      <c r="P311" s="1"/>
      <c r="Q311" s="1"/>
      <c r="R311" s="1"/>
      <c r="S311" s="1"/>
      <c r="T311" s="1"/>
      <c r="U311" s="1"/>
      <c r="V311" s="1"/>
      <c r="W311" s="1"/>
    </row>
    <row r="312" spans="1:23">
      <c r="A312" s="223"/>
      <c r="B312" s="1"/>
      <c r="C312" s="1"/>
      <c r="D312" s="1"/>
      <c r="E312" s="1"/>
      <c r="F312" s="1"/>
      <c r="G312" s="1"/>
      <c r="H312" s="1"/>
      <c r="I312" s="1"/>
      <c r="J312" s="1"/>
      <c r="K312" s="1"/>
      <c r="L312" s="1"/>
      <c r="M312" s="1"/>
      <c r="N312" s="1"/>
      <c r="O312" s="1"/>
      <c r="P312" s="1"/>
      <c r="Q312" s="1"/>
      <c r="R312" s="1"/>
      <c r="S312" s="1"/>
      <c r="T312" s="1"/>
      <c r="U312" s="1"/>
      <c r="V312" s="1"/>
      <c r="W312" s="1"/>
    </row>
    <row r="313" spans="1:23">
      <c r="A313" s="223"/>
      <c r="B313" s="1"/>
      <c r="C313" s="1"/>
      <c r="D313" s="1"/>
      <c r="E313" s="1"/>
      <c r="F313" s="1"/>
      <c r="G313" s="1"/>
      <c r="H313" s="1"/>
      <c r="I313" s="1"/>
      <c r="J313" s="1"/>
      <c r="K313" s="1"/>
      <c r="L313" s="1"/>
      <c r="M313" s="1"/>
      <c r="N313" s="1"/>
      <c r="O313" s="1"/>
      <c r="P313" s="1"/>
      <c r="Q313" s="1"/>
      <c r="R313" s="1"/>
      <c r="S313" s="1"/>
      <c r="T313" s="1"/>
      <c r="U313" s="1"/>
      <c r="V313" s="1"/>
      <c r="W313" s="1"/>
    </row>
    <row r="314" spans="1:23">
      <c r="A314" s="223"/>
      <c r="B314" s="1"/>
      <c r="C314" s="1"/>
      <c r="D314" s="1"/>
      <c r="E314" s="1"/>
      <c r="F314" s="1"/>
      <c r="G314" s="1"/>
      <c r="H314" s="1"/>
      <c r="I314" s="1"/>
      <c r="J314" s="1"/>
      <c r="K314" s="1"/>
      <c r="L314" s="1"/>
      <c r="M314" s="1"/>
      <c r="N314" s="1"/>
      <c r="O314" s="1"/>
      <c r="P314" s="1"/>
      <c r="Q314" s="1"/>
      <c r="R314" s="1"/>
      <c r="S314" s="1"/>
      <c r="T314" s="1"/>
      <c r="U314" s="1"/>
      <c r="V314" s="1"/>
      <c r="W314" s="1"/>
    </row>
    <row r="315" spans="1:23">
      <c r="A315" s="223"/>
      <c r="B315" s="1"/>
      <c r="C315" s="1"/>
      <c r="D315" s="1"/>
      <c r="E315" s="1"/>
      <c r="F315" s="1"/>
      <c r="G315" s="1"/>
      <c r="H315" s="1"/>
      <c r="I315" s="1"/>
      <c r="J315" s="1"/>
      <c r="K315" s="1"/>
      <c r="L315" s="1"/>
      <c r="M315" s="1"/>
      <c r="N315" s="1"/>
      <c r="O315" s="1"/>
      <c r="P315" s="1"/>
      <c r="Q315" s="1"/>
      <c r="R315" s="1"/>
      <c r="S315" s="1"/>
      <c r="T315" s="1"/>
      <c r="U315" s="1"/>
      <c r="V315" s="1"/>
      <c r="W315" s="1"/>
    </row>
    <row r="316" spans="1:23">
      <c r="A316" s="223"/>
      <c r="B316" s="1"/>
      <c r="C316" s="1"/>
      <c r="D316" s="1"/>
      <c r="E316" s="1"/>
      <c r="F316" s="1"/>
      <c r="G316" s="1"/>
      <c r="H316" s="1"/>
      <c r="I316" s="1"/>
      <c r="J316" s="1"/>
      <c r="K316" s="1"/>
      <c r="L316" s="1"/>
      <c r="M316" s="1"/>
      <c r="N316" s="1"/>
      <c r="O316" s="1"/>
      <c r="P316" s="1"/>
      <c r="Q316" s="1"/>
      <c r="R316" s="1"/>
      <c r="S316" s="1"/>
      <c r="T316" s="1"/>
      <c r="U316" s="1"/>
      <c r="V316" s="1"/>
      <c r="W316" s="1"/>
    </row>
    <row r="317" spans="1:23">
      <c r="A317" s="223"/>
      <c r="B317" s="1"/>
      <c r="C317" s="1"/>
      <c r="D317" s="1"/>
      <c r="E317" s="1"/>
      <c r="F317" s="1"/>
      <c r="G317" s="1"/>
      <c r="H317" s="1"/>
      <c r="I317" s="1"/>
      <c r="J317" s="1"/>
      <c r="K317" s="1"/>
      <c r="L317" s="1"/>
      <c r="M317" s="1"/>
      <c r="N317" s="1"/>
      <c r="O317" s="1"/>
      <c r="P317" s="1"/>
      <c r="Q317" s="1"/>
      <c r="R317" s="1"/>
      <c r="S317" s="1"/>
      <c r="T317" s="1"/>
      <c r="U317" s="1"/>
      <c r="V317" s="1"/>
      <c r="W317" s="1"/>
    </row>
    <row r="318" spans="1:23">
      <c r="A318" s="223"/>
      <c r="B318" s="1"/>
      <c r="C318" s="1"/>
      <c r="D318" s="1"/>
      <c r="E318" s="1"/>
      <c r="F318" s="1"/>
      <c r="G318" s="1"/>
      <c r="H318" s="1"/>
      <c r="I318" s="1"/>
      <c r="J318" s="1"/>
      <c r="K318" s="1"/>
      <c r="L318" s="1"/>
      <c r="M318" s="1"/>
      <c r="N318" s="1"/>
      <c r="O318" s="1"/>
      <c r="P318" s="1"/>
      <c r="Q318" s="1"/>
      <c r="R318" s="1"/>
      <c r="S318" s="1"/>
      <c r="T318" s="1"/>
      <c r="U318" s="1"/>
      <c r="V318" s="1"/>
      <c r="W318" s="1"/>
    </row>
    <row r="319" spans="1:23">
      <c r="A319" s="223"/>
      <c r="B319" s="1"/>
      <c r="C319" s="1"/>
      <c r="D319" s="1"/>
      <c r="E319" s="1"/>
      <c r="F319" s="1"/>
      <c r="G319" s="1"/>
      <c r="H319" s="1"/>
      <c r="I319" s="1"/>
      <c r="J319" s="1"/>
      <c r="K319" s="1"/>
      <c r="L319" s="1"/>
      <c r="M319" s="1"/>
      <c r="N319" s="1"/>
      <c r="O319" s="1"/>
      <c r="P319" s="1"/>
      <c r="Q319" s="1"/>
      <c r="R319" s="1"/>
      <c r="S319" s="1"/>
      <c r="T319" s="1"/>
      <c r="U319" s="1"/>
      <c r="V319" s="1"/>
      <c r="W319" s="1"/>
    </row>
    <row r="320" spans="1:23">
      <c r="A320" s="223"/>
      <c r="B320" s="1"/>
      <c r="C320" s="1"/>
      <c r="D320" s="1"/>
      <c r="E320" s="1"/>
      <c r="F320" s="1"/>
      <c r="G320" s="1"/>
      <c r="H320" s="1"/>
      <c r="I320" s="1"/>
      <c r="J320" s="1"/>
      <c r="K320" s="1"/>
      <c r="L320" s="1"/>
      <c r="M320" s="1"/>
      <c r="N320" s="1"/>
      <c r="O320" s="1"/>
      <c r="P320" s="1"/>
      <c r="Q320" s="1"/>
      <c r="R320" s="1"/>
      <c r="S320" s="1"/>
      <c r="T320" s="1"/>
      <c r="U320" s="1"/>
      <c r="V320" s="1"/>
      <c r="W320" s="1"/>
    </row>
    <row r="321" spans="1:23">
      <c r="A321" s="223"/>
      <c r="B321" s="1"/>
      <c r="C321" s="1"/>
      <c r="D321" s="1"/>
      <c r="E321" s="1"/>
      <c r="F321" s="1"/>
      <c r="G321" s="1"/>
      <c r="H321" s="1"/>
      <c r="I321" s="1"/>
      <c r="J321" s="1"/>
      <c r="K321" s="1"/>
      <c r="L321" s="1"/>
      <c r="M321" s="1"/>
      <c r="N321" s="1"/>
      <c r="O321" s="1"/>
      <c r="P321" s="1"/>
      <c r="Q321" s="1"/>
      <c r="R321" s="1"/>
      <c r="S321" s="1"/>
      <c r="T321" s="1"/>
      <c r="U321" s="1"/>
      <c r="V321" s="1"/>
      <c r="W321" s="1"/>
    </row>
    <row r="322" spans="1:23">
      <c r="A322" s="223"/>
      <c r="B322" s="1"/>
      <c r="C322" s="1"/>
      <c r="D322" s="1"/>
      <c r="E322" s="1"/>
      <c r="F322" s="1"/>
      <c r="G322" s="1"/>
      <c r="H322" s="1"/>
      <c r="I322" s="1"/>
      <c r="J322" s="1"/>
      <c r="K322" s="1"/>
      <c r="L322" s="1"/>
      <c r="M322" s="1"/>
      <c r="N322" s="1"/>
      <c r="O322" s="1"/>
      <c r="P322" s="1"/>
      <c r="Q322" s="1"/>
      <c r="R322" s="1"/>
      <c r="S322" s="1"/>
      <c r="T322" s="1"/>
      <c r="U322" s="1"/>
      <c r="V322" s="1"/>
      <c r="W322" s="1"/>
    </row>
    <row r="323" spans="1:23">
      <c r="A323" s="223"/>
      <c r="B323" s="1"/>
      <c r="C323" s="1"/>
      <c r="D323" s="1"/>
      <c r="E323" s="1"/>
      <c r="F323" s="1"/>
      <c r="G323" s="1"/>
      <c r="H323" s="1"/>
      <c r="I323" s="1"/>
      <c r="J323" s="1"/>
      <c r="K323" s="1"/>
      <c r="L323" s="1"/>
      <c r="M323" s="1"/>
      <c r="N323" s="1"/>
      <c r="O323" s="1"/>
      <c r="P323" s="1"/>
      <c r="Q323" s="1"/>
      <c r="R323" s="1"/>
      <c r="S323" s="1"/>
      <c r="T323" s="1"/>
      <c r="U323" s="1"/>
      <c r="V323" s="1"/>
      <c r="W323" s="1"/>
    </row>
    <row r="324" spans="1:23">
      <c r="A324" s="223"/>
      <c r="B324" s="1"/>
      <c r="C324" s="1"/>
      <c r="D324" s="1"/>
      <c r="E324" s="1"/>
      <c r="F324" s="1"/>
      <c r="G324" s="1"/>
      <c r="H324" s="1"/>
      <c r="I324" s="1"/>
      <c r="J324" s="1"/>
      <c r="K324" s="1"/>
      <c r="L324" s="1"/>
      <c r="M324" s="1"/>
      <c r="N324" s="1"/>
      <c r="O324" s="1"/>
      <c r="P324" s="1"/>
      <c r="Q324" s="1"/>
      <c r="R324" s="1"/>
      <c r="S324" s="1"/>
      <c r="T324" s="1"/>
      <c r="U324" s="1"/>
      <c r="V324" s="1"/>
      <c r="W324" s="1"/>
    </row>
    <row r="325" spans="1:23">
      <c r="A325" s="223"/>
      <c r="B325" s="1"/>
      <c r="C325" s="1"/>
      <c r="D325" s="1"/>
      <c r="E325" s="1"/>
      <c r="F325" s="1"/>
      <c r="G325" s="1"/>
      <c r="H325" s="1"/>
      <c r="I325" s="1"/>
      <c r="J325" s="1"/>
      <c r="K325" s="1"/>
      <c r="L325" s="1"/>
      <c r="M325" s="1"/>
      <c r="N325" s="1"/>
      <c r="O325" s="1"/>
      <c r="P325" s="1"/>
      <c r="Q325" s="1"/>
      <c r="R325" s="1"/>
      <c r="S325" s="1"/>
      <c r="T325" s="1"/>
      <c r="U325" s="1"/>
      <c r="V325" s="1"/>
      <c r="W325" s="1"/>
    </row>
    <row r="326" spans="1:23">
      <c r="A326" s="223"/>
      <c r="B326" s="1"/>
      <c r="C326" s="1"/>
      <c r="D326" s="1"/>
      <c r="E326" s="1"/>
      <c r="F326" s="1"/>
      <c r="G326" s="1"/>
      <c r="H326" s="1"/>
      <c r="I326" s="1"/>
      <c r="J326" s="1"/>
      <c r="K326" s="1"/>
      <c r="L326" s="1"/>
      <c r="M326" s="1"/>
      <c r="N326" s="1"/>
      <c r="O326" s="1"/>
      <c r="P326" s="1"/>
      <c r="Q326" s="1"/>
      <c r="R326" s="1"/>
      <c r="S326" s="1"/>
      <c r="T326" s="1"/>
      <c r="U326" s="1"/>
      <c r="V326" s="1"/>
      <c r="W326" s="1"/>
    </row>
    <row r="327" spans="1:23">
      <c r="A327" s="223"/>
      <c r="B327" s="1"/>
      <c r="C327" s="1"/>
      <c r="D327" s="1"/>
      <c r="E327" s="1"/>
      <c r="F327" s="1"/>
      <c r="G327" s="1"/>
      <c r="H327" s="1"/>
      <c r="I327" s="1"/>
      <c r="J327" s="1"/>
      <c r="K327" s="1"/>
      <c r="L327" s="1"/>
      <c r="M327" s="1"/>
      <c r="N327" s="1"/>
      <c r="O327" s="1"/>
      <c r="P327" s="1"/>
      <c r="Q327" s="1"/>
      <c r="R327" s="1"/>
      <c r="S327" s="1"/>
      <c r="T327" s="1"/>
      <c r="U327" s="1"/>
      <c r="V327" s="1"/>
      <c r="W327" s="1"/>
    </row>
    <row r="328" spans="1:23">
      <c r="A328" s="223"/>
      <c r="B328" s="1"/>
      <c r="C328" s="1"/>
      <c r="D328" s="1"/>
      <c r="E328" s="1"/>
      <c r="F328" s="1"/>
      <c r="G328" s="1"/>
      <c r="H328" s="1"/>
      <c r="I328" s="1"/>
      <c r="J328" s="1"/>
      <c r="K328" s="1"/>
      <c r="L328" s="1"/>
      <c r="M328" s="1"/>
      <c r="N328" s="1"/>
      <c r="O328" s="1"/>
      <c r="P328" s="1"/>
      <c r="Q328" s="1"/>
      <c r="R328" s="1"/>
      <c r="S328" s="1"/>
      <c r="T328" s="1"/>
      <c r="U328" s="1"/>
      <c r="V328" s="1"/>
      <c r="W328" s="1"/>
    </row>
    <row r="329" spans="1:23">
      <c r="A329" s="223"/>
      <c r="B329" s="1"/>
      <c r="C329" s="1"/>
      <c r="D329" s="1"/>
      <c r="E329" s="1"/>
      <c r="F329" s="1"/>
      <c r="G329" s="1"/>
      <c r="H329" s="1"/>
      <c r="I329" s="1"/>
      <c r="J329" s="1"/>
      <c r="K329" s="1"/>
      <c r="L329" s="1"/>
      <c r="M329" s="1"/>
      <c r="N329" s="1"/>
      <c r="O329" s="1"/>
      <c r="P329" s="1"/>
      <c r="Q329" s="1"/>
      <c r="R329" s="1"/>
      <c r="S329" s="1"/>
      <c r="T329" s="1"/>
      <c r="U329" s="1"/>
      <c r="V329" s="1"/>
      <c r="W329" s="1"/>
    </row>
    <row r="330" spans="1:23">
      <c r="A330" s="223"/>
      <c r="B330" s="1"/>
      <c r="C330" s="1"/>
      <c r="D330" s="1"/>
      <c r="E330" s="1"/>
      <c r="F330" s="1"/>
      <c r="G330" s="1"/>
      <c r="H330" s="1"/>
      <c r="I330" s="1"/>
      <c r="J330" s="1"/>
      <c r="K330" s="1"/>
      <c r="L330" s="1"/>
      <c r="M330" s="1"/>
      <c r="N330" s="1"/>
      <c r="O330" s="1"/>
      <c r="P330" s="1"/>
      <c r="Q330" s="1"/>
      <c r="R330" s="1"/>
      <c r="S330" s="1"/>
      <c r="T330" s="1"/>
      <c r="U330" s="1"/>
      <c r="V330" s="1"/>
      <c r="W330" s="1"/>
    </row>
    <row r="331" spans="1:23">
      <c r="A331" s="223"/>
      <c r="B331" s="1"/>
      <c r="C331" s="1"/>
      <c r="D331" s="1"/>
      <c r="E331" s="1"/>
      <c r="F331" s="1"/>
      <c r="G331" s="1"/>
      <c r="H331" s="1"/>
      <c r="I331" s="1"/>
      <c r="J331" s="1"/>
      <c r="K331" s="1"/>
      <c r="L331" s="1"/>
      <c r="M331" s="1"/>
      <c r="N331" s="1"/>
      <c r="O331" s="1"/>
      <c r="P331" s="1"/>
      <c r="Q331" s="1"/>
      <c r="R331" s="1"/>
      <c r="S331" s="1"/>
      <c r="T331" s="1"/>
      <c r="U331" s="1"/>
      <c r="V331" s="1"/>
      <c r="W331" s="1"/>
    </row>
    <row r="332" spans="1:23">
      <c r="A332" s="223"/>
      <c r="B332" s="1"/>
      <c r="C332" s="1"/>
      <c r="D332" s="1"/>
      <c r="E332" s="1"/>
      <c r="F332" s="1"/>
      <c r="G332" s="1"/>
      <c r="H332" s="1"/>
      <c r="I332" s="1"/>
      <c r="J332" s="1"/>
      <c r="K332" s="1"/>
      <c r="L332" s="1"/>
      <c r="M332" s="1"/>
      <c r="N332" s="1"/>
      <c r="O332" s="1"/>
      <c r="P332" s="1"/>
      <c r="Q332" s="1"/>
      <c r="R332" s="1"/>
      <c r="S332" s="1"/>
      <c r="T332" s="1"/>
      <c r="U332" s="1"/>
      <c r="V332" s="1"/>
      <c r="W332" s="1"/>
    </row>
    <row r="333" spans="1:23">
      <c r="A333" s="223"/>
      <c r="B333" s="1"/>
      <c r="C333" s="1"/>
      <c r="D333" s="1"/>
      <c r="E333" s="1"/>
      <c r="F333" s="1"/>
      <c r="G333" s="1"/>
      <c r="H333" s="1"/>
      <c r="I333" s="1"/>
      <c r="J333" s="1"/>
      <c r="K333" s="1"/>
      <c r="L333" s="1"/>
      <c r="M333" s="1"/>
      <c r="N333" s="1"/>
      <c r="O333" s="1"/>
      <c r="P333" s="1"/>
      <c r="Q333" s="1"/>
      <c r="R333" s="1"/>
      <c r="S333" s="1"/>
      <c r="T333" s="1"/>
      <c r="U333" s="1"/>
      <c r="V333" s="1"/>
      <c r="W333" s="1"/>
    </row>
    <row r="334" spans="1:23">
      <c r="A334" s="223"/>
      <c r="B334" s="1"/>
      <c r="C334" s="1"/>
      <c r="D334" s="1"/>
      <c r="E334" s="1"/>
      <c r="F334" s="1"/>
      <c r="G334" s="1"/>
      <c r="H334" s="1"/>
      <c r="I334" s="1"/>
      <c r="J334" s="1"/>
      <c r="K334" s="1"/>
      <c r="L334" s="1"/>
      <c r="M334" s="1"/>
      <c r="N334" s="1"/>
      <c r="O334" s="1"/>
      <c r="P334" s="1"/>
      <c r="Q334" s="1"/>
      <c r="R334" s="1"/>
      <c r="S334" s="1"/>
      <c r="T334" s="1"/>
      <c r="U334" s="1"/>
      <c r="V334" s="1"/>
      <c r="W334" s="1"/>
    </row>
    <row r="335" spans="1:23">
      <c r="A335" s="223"/>
      <c r="B335" s="1"/>
      <c r="C335" s="1"/>
      <c r="D335" s="1"/>
      <c r="E335" s="1"/>
      <c r="F335" s="1"/>
      <c r="G335" s="1"/>
      <c r="H335" s="1"/>
      <c r="I335" s="1"/>
      <c r="J335" s="1"/>
      <c r="K335" s="1"/>
      <c r="L335" s="1"/>
      <c r="M335" s="1"/>
      <c r="N335" s="1"/>
      <c r="O335" s="1"/>
      <c r="P335" s="1"/>
      <c r="Q335" s="1"/>
      <c r="R335" s="1"/>
      <c r="S335" s="1"/>
      <c r="T335" s="1"/>
      <c r="U335" s="1"/>
      <c r="V335" s="1"/>
      <c r="W335" s="1"/>
    </row>
    <row r="336" spans="1:23">
      <c r="A336" s="223"/>
      <c r="B336" s="1"/>
      <c r="C336" s="1"/>
      <c r="D336" s="1"/>
      <c r="E336" s="1"/>
      <c r="F336" s="1"/>
      <c r="G336" s="1"/>
      <c r="H336" s="1"/>
      <c r="I336" s="1"/>
      <c r="J336" s="1"/>
      <c r="K336" s="1"/>
      <c r="L336" s="1"/>
      <c r="M336" s="1"/>
      <c r="N336" s="1"/>
      <c r="O336" s="1"/>
      <c r="P336" s="1"/>
      <c r="Q336" s="1"/>
      <c r="R336" s="1"/>
      <c r="S336" s="1"/>
      <c r="T336" s="1"/>
      <c r="U336" s="1"/>
      <c r="V336" s="1"/>
      <c r="W336" s="1"/>
    </row>
    <row r="337" spans="1:23">
      <c r="A337" s="223"/>
      <c r="B337" s="1"/>
      <c r="C337" s="1"/>
      <c r="D337" s="1"/>
      <c r="E337" s="1"/>
      <c r="F337" s="1"/>
      <c r="G337" s="1"/>
      <c r="H337" s="1"/>
      <c r="I337" s="1"/>
      <c r="J337" s="1"/>
      <c r="K337" s="1"/>
      <c r="L337" s="1"/>
      <c r="M337" s="1"/>
      <c r="N337" s="1"/>
      <c r="O337" s="1"/>
      <c r="P337" s="1"/>
      <c r="Q337" s="1"/>
      <c r="R337" s="1"/>
      <c r="S337" s="1"/>
      <c r="T337" s="1"/>
      <c r="U337" s="1"/>
      <c r="V337" s="1"/>
      <c r="W337" s="1"/>
    </row>
    <row r="338" spans="1:23">
      <c r="A338" s="223"/>
      <c r="B338" s="1"/>
      <c r="C338" s="1"/>
      <c r="D338" s="1"/>
      <c r="E338" s="1"/>
      <c r="F338" s="1"/>
      <c r="G338" s="1"/>
      <c r="H338" s="1"/>
      <c r="I338" s="1"/>
      <c r="J338" s="1"/>
      <c r="K338" s="1"/>
      <c r="L338" s="1"/>
      <c r="M338" s="1"/>
      <c r="N338" s="1"/>
      <c r="O338" s="1"/>
      <c r="P338" s="1"/>
      <c r="Q338" s="1"/>
      <c r="R338" s="1"/>
      <c r="S338" s="1"/>
      <c r="T338" s="1"/>
      <c r="U338" s="1"/>
      <c r="V338" s="1"/>
      <c r="W338" s="1"/>
    </row>
    <row r="339" spans="1:23">
      <c r="A339" s="223"/>
      <c r="B339" s="1"/>
      <c r="C339" s="1"/>
      <c r="D339" s="1"/>
      <c r="E339" s="1"/>
      <c r="F339" s="1"/>
      <c r="G339" s="1"/>
      <c r="H339" s="1"/>
      <c r="I339" s="1"/>
      <c r="J339" s="1"/>
      <c r="K339" s="1"/>
      <c r="L339" s="1"/>
      <c r="M339" s="1"/>
      <c r="N339" s="1"/>
      <c r="O339" s="1"/>
      <c r="P339" s="1"/>
      <c r="Q339" s="1"/>
      <c r="R339" s="1"/>
      <c r="S339" s="1"/>
      <c r="T339" s="1"/>
      <c r="U339" s="1"/>
      <c r="V339" s="1"/>
      <c r="W339" s="1"/>
    </row>
    <row r="340" spans="1:23">
      <c r="A340" s="223"/>
      <c r="B340" s="1"/>
      <c r="C340" s="1"/>
      <c r="D340" s="1"/>
      <c r="E340" s="1"/>
      <c r="F340" s="1"/>
      <c r="G340" s="1"/>
      <c r="H340" s="1"/>
      <c r="I340" s="1"/>
      <c r="J340" s="1"/>
      <c r="K340" s="1"/>
      <c r="L340" s="1"/>
      <c r="M340" s="1"/>
      <c r="N340" s="1"/>
      <c r="O340" s="1"/>
      <c r="P340" s="1"/>
      <c r="Q340" s="1"/>
      <c r="R340" s="1"/>
      <c r="S340" s="1"/>
      <c r="T340" s="1"/>
      <c r="U340" s="1"/>
      <c r="V340" s="1"/>
      <c r="W340" s="1"/>
    </row>
    <row r="341" spans="1:23">
      <c r="A341" s="223"/>
      <c r="B341" s="1"/>
      <c r="C341" s="1"/>
      <c r="D341" s="1"/>
      <c r="E341" s="1"/>
      <c r="F341" s="1"/>
      <c r="G341" s="1"/>
      <c r="H341" s="1"/>
      <c r="I341" s="1"/>
      <c r="J341" s="1"/>
      <c r="K341" s="1"/>
      <c r="L341" s="1"/>
      <c r="M341" s="1"/>
      <c r="N341" s="1"/>
      <c r="O341" s="1"/>
      <c r="P341" s="1"/>
      <c r="Q341" s="1"/>
      <c r="R341" s="1"/>
      <c r="S341" s="1"/>
      <c r="T341" s="1"/>
      <c r="U341" s="1"/>
      <c r="V341" s="1"/>
      <c r="W341" s="1"/>
    </row>
    <row r="342" spans="1:23">
      <c r="A342" s="223"/>
      <c r="B342" s="1"/>
      <c r="C342" s="1"/>
      <c r="D342" s="1"/>
      <c r="E342" s="1"/>
      <c r="F342" s="1"/>
      <c r="G342" s="1"/>
      <c r="H342" s="1"/>
      <c r="I342" s="1"/>
      <c r="J342" s="1"/>
      <c r="K342" s="1"/>
      <c r="L342" s="1"/>
      <c r="M342" s="1"/>
      <c r="N342" s="1"/>
      <c r="O342" s="1"/>
      <c r="P342" s="1"/>
      <c r="Q342" s="1"/>
      <c r="R342" s="1"/>
      <c r="S342" s="1"/>
      <c r="T342" s="1"/>
      <c r="U342" s="1"/>
      <c r="V342" s="1"/>
      <c r="W342" s="1"/>
    </row>
    <row r="343" spans="1:23">
      <c r="A343" s="223"/>
      <c r="B343" s="1"/>
      <c r="C343" s="1"/>
      <c r="D343" s="1"/>
      <c r="E343" s="1"/>
      <c r="F343" s="1"/>
      <c r="G343" s="1"/>
      <c r="H343" s="1"/>
      <c r="I343" s="1"/>
      <c r="J343" s="1"/>
      <c r="K343" s="1"/>
      <c r="L343" s="1"/>
      <c r="M343" s="1"/>
      <c r="N343" s="1"/>
      <c r="O343" s="1"/>
      <c r="P343" s="1"/>
      <c r="Q343" s="1"/>
      <c r="R343" s="1"/>
      <c r="S343" s="1"/>
      <c r="T343" s="1"/>
      <c r="U343" s="1"/>
      <c r="V343" s="1"/>
      <c r="W343" s="1"/>
    </row>
    <row r="344" spans="1:23">
      <c r="A344" s="223"/>
      <c r="B344" s="1"/>
      <c r="C344" s="1"/>
      <c r="D344" s="1"/>
      <c r="E344" s="1"/>
      <c r="F344" s="1"/>
      <c r="G344" s="1"/>
      <c r="H344" s="1"/>
      <c r="I344" s="1"/>
      <c r="J344" s="1"/>
      <c r="K344" s="1"/>
      <c r="L344" s="1"/>
      <c r="M344" s="1"/>
      <c r="N344" s="1"/>
      <c r="O344" s="1"/>
      <c r="P344" s="1"/>
      <c r="Q344" s="1"/>
      <c r="R344" s="1"/>
      <c r="S344" s="1"/>
      <c r="T344" s="1"/>
      <c r="U344" s="1"/>
      <c r="V344" s="1"/>
      <c r="W344" s="1"/>
    </row>
    <row r="345" spans="1:23">
      <c r="A345" s="223"/>
      <c r="B345" s="1"/>
      <c r="C345" s="1"/>
      <c r="D345" s="1"/>
      <c r="E345" s="1"/>
      <c r="F345" s="1"/>
      <c r="G345" s="1"/>
      <c r="H345" s="1"/>
      <c r="I345" s="1"/>
      <c r="J345" s="1"/>
      <c r="K345" s="1"/>
      <c r="L345" s="1"/>
      <c r="M345" s="1"/>
      <c r="N345" s="1"/>
      <c r="O345" s="1"/>
      <c r="P345" s="1"/>
      <c r="Q345" s="1"/>
      <c r="R345" s="1"/>
      <c r="S345" s="1"/>
      <c r="T345" s="1"/>
      <c r="U345" s="1"/>
      <c r="V345" s="1"/>
      <c r="W345" s="1"/>
    </row>
    <row r="346" spans="1:23">
      <c r="A346" s="223"/>
      <c r="B346" s="1"/>
      <c r="C346" s="1"/>
      <c r="D346" s="1"/>
      <c r="E346" s="1"/>
      <c r="F346" s="1"/>
      <c r="G346" s="1"/>
      <c r="H346" s="1"/>
      <c r="I346" s="1"/>
      <c r="J346" s="1"/>
      <c r="K346" s="1"/>
      <c r="L346" s="1"/>
      <c r="M346" s="1"/>
      <c r="N346" s="1"/>
      <c r="O346" s="1"/>
      <c r="P346" s="1"/>
      <c r="Q346" s="1"/>
      <c r="R346" s="1"/>
      <c r="S346" s="1"/>
      <c r="T346" s="1"/>
      <c r="U346" s="1"/>
      <c r="V346" s="1"/>
      <c r="W346" s="1"/>
    </row>
    <row r="347" spans="1:23">
      <c r="A347" s="223"/>
      <c r="B347" s="1"/>
      <c r="C347" s="1"/>
      <c r="D347" s="1"/>
      <c r="E347" s="1"/>
      <c r="F347" s="1"/>
      <c r="G347" s="1"/>
      <c r="H347" s="1"/>
      <c r="I347" s="1"/>
      <c r="J347" s="1"/>
      <c r="K347" s="1"/>
      <c r="L347" s="1"/>
      <c r="M347" s="1"/>
      <c r="N347" s="1"/>
      <c r="O347" s="1"/>
      <c r="P347" s="1"/>
      <c r="Q347" s="1"/>
      <c r="R347" s="1"/>
      <c r="S347" s="1"/>
      <c r="T347" s="1"/>
      <c r="U347" s="1"/>
      <c r="V347" s="1"/>
      <c r="W347" s="1"/>
    </row>
    <row r="348" spans="1:23">
      <c r="A348" s="223"/>
      <c r="B348" s="1"/>
      <c r="C348" s="1"/>
      <c r="D348" s="1"/>
      <c r="E348" s="1"/>
      <c r="F348" s="1"/>
      <c r="G348" s="1"/>
      <c r="H348" s="1"/>
      <c r="I348" s="1"/>
      <c r="J348" s="1"/>
      <c r="K348" s="1"/>
      <c r="L348" s="1"/>
      <c r="M348" s="1"/>
      <c r="N348" s="1"/>
      <c r="O348" s="1"/>
      <c r="P348" s="1"/>
      <c r="Q348" s="1"/>
      <c r="R348" s="1"/>
      <c r="S348" s="1"/>
      <c r="T348" s="1"/>
      <c r="U348" s="1"/>
      <c r="V348" s="1"/>
      <c r="W348" s="1"/>
    </row>
    <row r="349" spans="1:23">
      <c r="A349" s="223"/>
      <c r="B349" s="1"/>
      <c r="C349" s="1"/>
      <c r="D349" s="1"/>
      <c r="E349" s="1"/>
      <c r="F349" s="1"/>
      <c r="G349" s="1"/>
      <c r="H349" s="1"/>
      <c r="I349" s="1"/>
      <c r="J349" s="1"/>
      <c r="K349" s="1"/>
      <c r="L349" s="1"/>
      <c r="M349" s="1"/>
      <c r="N349" s="1"/>
      <c r="O349" s="1"/>
      <c r="P349" s="1"/>
      <c r="Q349" s="1"/>
      <c r="R349" s="1"/>
      <c r="S349" s="1"/>
      <c r="T349" s="1"/>
      <c r="U349" s="1"/>
      <c r="V349" s="1"/>
      <c r="W349" s="1"/>
    </row>
    <row r="350" spans="1:23">
      <c r="A350" s="223"/>
      <c r="B350" s="1"/>
      <c r="C350" s="1"/>
      <c r="D350" s="1"/>
      <c r="E350" s="1"/>
      <c r="F350" s="1"/>
      <c r="G350" s="1"/>
      <c r="H350" s="1"/>
      <c r="I350" s="1"/>
      <c r="J350" s="1"/>
      <c r="K350" s="1"/>
      <c r="L350" s="1"/>
      <c r="M350" s="1"/>
      <c r="N350" s="1"/>
      <c r="O350" s="1"/>
      <c r="P350" s="1"/>
      <c r="Q350" s="1"/>
      <c r="R350" s="1"/>
      <c r="S350" s="1"/>
      <c r="T350" s="1"/>
      <c r="U350" s="1"/>
      <c r="V350" s="1"/>
      <c r="W350" s="1"/>
    </row>
    <row r="351" spans="1:23">
      <c r="A351" s="223"/>
      <c r="B351" s="1"/>
      <c r="C351" s="1"/>
      <c r="D351" s="1"/>
      <c r="E351" s="1"/>
      <c r="F351" s="1"/>
      <c r="G351" s="1"/>
      <c r="H351" s="1"/>
      <c r="I351" s="1"/>
      <c r="J351" s="1"/>
      <c r="K351" s="1"/>
      <c r="L351" s="1"/>
      <c r="M351" s="1"/>
      <c r="N351" s="1"/>
      <c r="O351" s="1"/>
      <c r="P351" s="1"/>
      <c r="Q351" s="1"/>
      <c r="R351" s="1"/>
      <c r="S351" s="1"/>
      <c r="T351" s="1"/>
      <c r="U351" s="1"/>
      <c r="V351" s="1"/>
      <c r="W351" s="1"/>
    </row>
    <row r="352" spans="1:23">
      <c r="A352" s="223"/>
      <c r="B352" s="1"/>
      <c r="C352" s="1"/>
      <c r="D352" s="1"/>
      <c r="E352" s="1"/>
      <c r="F352" s="1"/>
      <c r="G352" s="1"/>
      <c r="H352" s="1"/>
      <c r="I352" s="1"/>
      <c r="J352" s="1"/>
      <c r="K352" s="1"/>
      <c r="L352" s="1"/>
      <c r="M352" s="1"/>
      <c r="N352" s="1"/>
      <c r="O352" s="1"/>
      <c r="P352" s="1"/>
      <c r="Q352" s="1"/>
      <c r="R352" s="1"/>
      <c r="S352" s="1"/>
      <c r="T352" s="1"/>
      <c r="U352" s="1"/>
      <c r="V352" s="1"/>
      <c r="W352" s="1"/>
    </row>
    <row r="353" spans="1:23">
      <c r="A353" s="223"/>
      <c r="B353" s="1"/>
      <c r="C353" s="1"/>
      <c r="D353" s="1"/>
      <c r="E353" s="1"/>
      <c r="F353" s="1"/>
      <c r="G353" s="1"/>
      <c r="H353" s="1"/>
      <c r="I353" s="1"/>
      <c r="J353" s="1"/>
      <c r="K353" s="1"/>
      <c r="L353" s="1"/>
      <c r="M353" s="1"/>
      <c r="N353" s="1"/>
      <c r="O353" s="1"/>
      <c r="P353" s="1"/>
      <c r="Q353" s="1"/>
      <c r="R353" s="1"/>
      <c r="S353" s="1"/>
      <c r="T353" s="1"/>
      <c r="U353" s="1"/>
      <c r="V353" s="1"/>
      <c r="W353" s="1"/>
    </row>
    <row r="354" spans="1:23">
      <c r="A354" s="223"/>
      <c r="B354" s="1"/>
      <c r="C354" s="1"/>
      <c r="D354" s="1"/>
      <c r="E354" s="1"/>
      <c r="F354" s="1"/>
      <c r="G354" s="1"/>
      <c r="H354" s="1"/>
      <c r="I354" s="1"/>
      <c r="J354" s="1"/>
      <c r="K354" s="1"/>
      <c r="L354" s="1"/>
      <c r="M354" s="1"/>
      <c r="N354" s="1"/>
      <c r="O354" s="1"/>
      <c r="P354" s="1"/>
      <c r="Q354" s="1"/>
      <c r="R354" s="1"/>
      <c r="S354" s="1"/>
      <c r="T354" s="1"/>
      <c r="U354" s="1"/>
      <c r="V354" s="1"/>
      <c r="W354" s="1"/>
    </row>
    <row r="355" spans="1:23">
      <c r="A355" s="223"/>
      <c r="B355" s="1"/>
      <c r="C355" s="1"/>
      <c r="D355" s="1"/>
      <c r="E355" s="1"/>
      <c r="F355" s="1"/>
      <c r="G355" s="1"/>
      <c r="H355" s="1"/>
      <c r="I355" s="1"/>
      <c r="J355" s="1"/>
      <c r="K355" s="1"/>
      <c r="L355" s="1"/>
      <c r="M355" s="1"/>
      <c r="N355" s="1"/>
      <c r="O355" s="1"/>
      <c r="P355" s="1"/>
      <c r="Q355" s="1"/>
      <c r="R355" s="1"/>
      <c r="S355" s="1"/>
      <c r="T355" s="1"/>
      <c r="U355" s="1"/>
      <c r="V355" s="1"/>
      <c r="W355" s="1"/>
    </row>
    <row r="356" spans="1:23">
      <c r="A356" s="223"/>
      <c r="B356" s="1"/>
      <c r="C356" s="1"/>
      <c r="D356" s="1"/>
      <c r="E356" s="1"/>
      <c r="F356" s="1"/>
      <c r="G356" s="1"/>
      <c r="H356" s="1"/>
      <c r="I356" s="1"/>
      <c r="J356" s="1"/>
      <c r="K356" s="1"/>
      <c r="L356" s="1"/>
      <c r="M356" s="1"/>
      <c r="N356" s="1"/>
      <c r="O356" s="1"/>
      <c r="P356" s="1"/>
      <c r="Q356" s="1"/>
      <c r="R356" s="1"/>
      <c r="S356" s="1"/>
      <c r="T356" s="1"/>
      <c r="U356" s="1"/>
      <c r="V356" s="1"/>
      <c r="W356" s="1"/>
    </row>
    <row r="357" spans="1:23">
      <c r="A357" s="223"/>
      <c r="B357" s="1"/>
      <c r="C357" s="1"/>
      <c r="D357" s="1"/>
      <c r="E357" s="1"/>
      <c r="F357" s="1"/>
      <c r="G357" s="1"/>
      <c r="H357" s="1"/>
      <c r="I357" s="1"/>
      <c r="J357" s="1"/>
      <c r="K357" s="1"/>
      <c r="L357" s="1"/>
      <c r="M357" s="1"/>
      <c r="N357" s="1"/>
      <c r="O357" s="1"/>
      <c r="P357" s="1"/>
      <c r="Q357" s="1"/>
      <c r="R357" s="1"/>
      <c r="S357" s="1"/>
      <c r="T357" s="1"/>
      <c r="U357" s="1"/>
      <c r="V357" s="1"/>
      <c r="W357" s="1"/>
    </row>
    <row r="358" spans="1:23">
      <c r="A358" s="223"/>
      <c r="B358" s="1"/>
      <c r="C358" s="1"/>
      <c r="D358" s="1"/>
      <c r="E358" s="1"/>
      <c r="F358" s="1"/>
      <c r="G358" s="1"/>
      <c r="H358" s="1"/>
      <c r="I358" s="1"/>
      <c r="J358" s="1"/>
      <c r="K358" s="1"/>
      <c r="L358" s="1"/>
      <c r="M358" s="1"/>
      <c r="N358" s="1"/>
      <c r="O358" s="1"/>
      <c r="P358" s="1"/>
      <c r="Q358" s="1"/>
      <c r="R358" s="1"/>
      <c r="S358" s="1"/>
      <c r="T358" s="1"/>
      <c r="U358" s="1"/>
      <c r="V358" s="1"/>
      <c r="W358" s="1"/>
    </row>
    <row r="359" spans="1:23">
      <c r="A359" s="223"/>
      <c r="B359" s="1"/>
      <c r="C359" s="1"/>
      <c r="D359" s="1"/>
      <c r="E359" s="1"/>
      <c r="F359" s="1"/>
      <c r="G359" s="1"/>
      <c r="H359" s="1"/>
      <c r="I359" s="1"/>
      <c r="J359" s="1"/>
      <c r="K359" s="1"/>
      <c r="L359" s="1"/>
      <c r="M359" s="1"/>
      <c r="N359" s="1"/>
      <c r="O359" s="1"/>
      <c r="P359" s="1"/>
      <c r="Q359" s="1"/>
      <c r="R359" s="1"/>
      <c r="S359" s="1"/>
      <c r="T359" s="1"/>
      <c r="U359" s="1"/>
      <c r="V359" s="1"/>
      <c r="W359" s="1"/>
    </row>
    <row r="360" spans="1:23">
      <c r="A360" s="223"/>
      <c r="B360" s="1"/>
      <c r="C360" s="1"/>
      <c r="D360" s="1"/>
      <c r="E360" s="1"/>
      <c r="F360" s="1"/>
      <c r="G360" s="1"/>
      <c r="H360" s="1"/>
      <c r="I360" s="1"/>
      <c r="J360" s="1"/>
      <c r="K360" s="1"/>
      <c r="L360" s="1"/>
      <c r="M360" s="1"/>
      <c r="N360" s="1"/>
      <c r="O360" s="1"/>
      <c r="P360" s="1"/>
      <c r="Q360" s="1"/>
      <c r="R360" s="1"/>
      <c r="S360" s="1"/>
      <c r="T360" s="1"/>
      <c r="U360" s="1"/>
      <c r="V360" s="1"/>
      <c r="W360" s="1"/>
    </row>
    <row r="361" spans="1:23">
      <c r="A361" s="223"/>
      <c r="B361" s="1"/>
      <c r="C361" s="1"/>
      <c r="D361" s="1"/>
      <c r="E361" s="1"/>
      <c r="F361" s="1"/>
      <c r="G361" s="1"/>
      <c r="H361" s="1"/>
      <c r="I361" s="1"/>
      <c r="J361" s="1"/>
      <c r="K361" s="1"/>
      <c r="L361" s="1"/>
      <c r="M361" s="1"/>
      <c r="N361" s="1"/>
      <c r="O361" s="1"/>
      <c r="P361" s="1"/>
      <c r="Q361" s="1"/>
      <c r="R361" s="1"/>
      <c r="S361" s="1"/>
      <c r="T361" s="1"/>
      <c r="U361" s="1"/>
      <c r="V361" s="1"/>
      <c r="W361" s="1"/>
    </row>
    <row r="362" spans="1:23">
      <c r="A362" s="223"/>
      <c r="B362" s="1"/>
      <c r="C362" s="1"/>
      <c r="D362" s="1"/>
      <c r="E362" s="1"/>
      <c r="F362" s="1"/>
      <c r="G362" s="1"/>
      <c r="H362" s="1"/>
      <c r="I362" s="1"/>
      <c r="J362" s="1"/>
      <c r="K362" s="1"/>
      <c r="L362" s="1"/>
      <c r="M362" s="1"/>
      <c r="N362" s="1"/>
      <c r="O362" s="1"/>
      <c r="P362" s="1"/>
      <c r="Q362" s="1"/>
      <c r="R362" s="1"/>
      <c r="S362" s="1"/>
      <c r="T362" s="1"/>
      <c r="U362" s="1"/>
      <c r="V362" s="1"/>
      <c r="W362" s="1"/>
    </row>
    <row r="363" spans="1:23">
      <c r="A363" s="223"/>
      <c r="B363" s="1"/>
      <c r="C363" s="1"/>
      <c r="D363" s="1"/>
      <c r="E363" s="1"/>
      <c r="F363" s="1"/>
      <c r="G363" s="1"/>
      <c r="H363" s="1"/>
      <c r="I363" s="1"/>
      <c r="J363" s="1"/>
      <c r="K363" s="1"/>
      <c r="L363" s="1"/>
      <c r="M363" s="1"/>
      <c r="N363" s="1"/>
      <c r="O363" s="1"/>
      <c r="P363" s="1"/>
      <c r="Q363" s="1"/>
      <c r="R363" s="1"/>
      <c r="S363" s="1"/>
      <c r="T363" s="1"/>
      <c r="U363" s="1"/>
      <c r="V363" s="1"/>
      <c r="W363" s="1"/>
    </row>
    <row r="364" spans="1:23">
      <c r="A364" s="223"/>
      <c r="B364" s="1"/>
      <c r="C364" s="1"/>
      <c r="D364" s="1"/>
      <c r="E364" s="1"/>
      <c r="F364" s="1"/>
      <c r="G364" s="1"/>
      <c r="H364" s="1"/>
      <c r="I364" s="1"/>
      <c r="J364" s="1"/>
      <c r="K364" s="1"/>
      <c r="L364" s="1"/>
      <c r="M364" s="1"/>
      <c r="N364" s="1"/>
      <c r="O364" s="1"/>
      <c r="P364" s="1"/>
      <c r="Q364" s="1"/>
      <c r="R364" s="1"/>
      <c r="S364" s="1"/>
      <c r="T364" s="1"/>
      <c r="U364" s="1"/>
      <c r="V364" s="1"/>
      <c r="W364" s="1"/>
    </row>
    <row r="365" spans="1:23">
      <c r="A365" s="223"/>
      <c r="B365" s="1"/>
      <c r="C365" s="1"/>
      <c r="D365" s="1"/>
      <c r="E365" s="1"/>
      <c r="F365" s="1"/>
      <c r="G365" s="1"/>
      <c r="H365" s="1"/>
      <c r="I365" s="1"/>
      <c r="J365" s="1"/>
      <c r="K365" s="1"/>
      <c r="L365" s="1"/>
      <c r="M365" s="1"/>
      <c r="N365" s="1"/>
      <c r="O365" s="1"/>
      <c r="P365" s="1"/>
      <c r="Q365" s="1"/>
      <c r="R365" s="1"/>
      <c r="S365" s="1"/>
      <c r="T365" s="1"/>
      <c r="U365" s="1"/>
      <c r="V365" s="1"/>
      <c r="W365" s="1"/>
    </row>
    <row r="366" spans="1:23">
      <c r="A366" s="223"/>
      <c r="B366" s="1"/>
      <c r="C366" s="1"/>
      <c r="D366" s="1"/>
      <c r="E366" s="1"/>
      <c r="F366" s="1"/>
      <c r="G366" s="1"/>
      <c r="H366" s="1"/>
      <c r="I366" s="1"/>
      <c r="J366" s="1"/>
      <c r="K366" s="1"/>
      <c r="L366" s="1"/>
      <c r="M366" s="1"/>
      <c r="N366" s="1"/>
      <c r="O366" s="1"/>
      <c r="P366" s="1"/>
      <c r="Q366" s="1"/>
      <c r="R366" s="1"/>
      <c r="S366" s="1"/>
      <c r="T366" s="1"/>
      <c r="U366" s="1"/>
      <c r="V366" s="1"/>
      <c r="W366" s="1"/>
    </row>
    <row r="367" spans="1:23">
      <c r="A367" s="223"/>
      <c r="B367" s="1"/>
      <c r="C367" s="1"/>
      <c r="D367" s="1"/>
      <c r="E367" s="1"/>
      <c r="F367" s="1"/>
      <c r="G367" s="1"/>
      <c r="H367" s="1"/>
      <c r="I367" s="1"/>
      <c r="J367" s="1"/>
      <c r="K367" s="1"/>
      <c r="L367" s="1"/>
      <c r="M367" s="1"/>
      <c r="N367" s="1"/>
      <c r="O367" s="1"/>
      <c r="P367" s="1"/>
      <c r="Q367" s="1"/>
      <c r="R367" s="1"/>
      <c r="S367" s="1"/>
      <c r="T367" s="1"/>
      <c r="U367" s="1"/>
      <c r="V367" s="1"/>
      <c r="W367" s="1"/>
    </row>
    <row r="368" spans="1:23">
      <c r="A368" s="223"/>
      <c r="B368" s="1"/>
      <c r="C368" s="1"/>
      <c r="D368" s="1"/>
      <c r="E368" s="1"/>
      <c r="F368" s="1"/>
      <c r="G368" s="1"/>
      <c r="H368" s="1"/>
      <c r="I368" s="1"/>
      <c r="J368" s="1"/>
      <c r="K368" s="1"/>
      <c r="L368" s="1"/>
      <c r="M368" s="1"/>
      <c r="N368" s="1"/>
      <c r="O368" s="1"/>
      <c r="P368" s="1"/>
      <c r="Q368" s="1"/>
      <c r="R368" s="1"/>
      <c r="S368" s="1"/>
      <c r="T368" s="1"/>
      <c r="U368" s="1"/>
      <c r="V368" s="1"/>
      <c r="W368" s="1"/>
    </row>
    <row r="369" spans="1:23">
      <c r="A369" s="223"/>
      <c r="B369" s="1"/>
      <c r="C369" s="1"/>
      <c r="D369" s="1"/>
      <c r="E369" s="1"/>
      <c r="F369" s="1"/>
      <c r="G369" s="1"/>
      <c r="H369" s="1"/>
      <c r="I369" s="1"/>
      <c r="J369" s="1"/>
      <c r="K369" s="1"/>
      <c r="L369" s="1"/>
      <c r="M369" s="1"/>
      <c r="N369" s="1"/>
      <c r="O369" s="1"/>
      <c r="P369" s="1"/>
      <c r="Q369" s="1"/>
      <c r="R369" s="1"/>
      <c r="S369" s="1"/>
      <c r="T369" s="1"/>
      <c r="U369" s="1"/>
      <c r="V369" s="1"/>
      <c r="W369" s="1"/>
    </row>
    <row r="370" spans="1:23">
      <c r="A370" s="223"/>
      <c r="B370" s="1"/>
      <c r="C370" s="1"/>
      <c r="D370" s="1"/>
      <c r="E370" s="1"/>
      <c r="F370" s="1"/>
      <c r="G370" s="1"/>
      <c r="H370" s="1"/>
      <c r="I370" s="1"/>
      <c r="J370" s="1"/>
      <c r="K370" s="1"/>
      <c r="L370" s="1"/>
      <c r="M370" s="1"/>
      <c r="N370" s="1"/>
      <c r="O370" s="1"/>
      <c r="P370" s="1"/>
      <c r="Q370" s="1"/>
      <c r="R370" s="1"/>
      <c r="S370" s="1"/>
      <c r="T370" s="1"/>
      <c r="U370" s="1"/>
      <c r="V370" s="1"/>
      <c r="W370" s="1"/>
    </row>
    <row r="371" spans="1:23">
      <c r="A371" s="223"/>
      <c r="B371" s="1"/>
      <c r="C371" s="1"/>
      <c r="D371" s="1"/>
      <c r="E371" s="1"/>
      <c r="F371" s="1"/>
      <c r="G371" s="1"/>
      <c r="H371" s="1"/>
      <c r="I371" s="1"/>
      <c r="J371" s="1"/>
      <c r="K371" s="1"/>
      <c r="L371" s="1"/>
      <c r="M371" s="1"/>
      <c r="N371" s="1"/>
      <c r="O371" s="1"/>
      <c r="P371" s="1"/>
      <c r="Q371" s="1"/>
      <c r="R371" s="1"/>
      <c r="S371" s="1"/>
      <c r="T371" s="1"/>
      <c r="U371" s="1"/>
      <c r="V371" s="1"/>
      <c r="W371" s="1"/>
    </row>
    <row r="372" spans="1:23">
      <c r="A372" s="223"/>
      <c r="B372" s="1"/>
      <c r="C372" s="1"/>
      <c r="D372" s="1"/>
      <c r="E372" s="1"/>
      <c r="F372" s="1"/>
      <c r="G372" s="1"/>
      <c r="H372" s="1"/>
      <c r="I372" s="1"/>
      <c r="J372" s="1"/>
      <c r="K372" s="1"/>
      <c r="L372" s="1"/>
      <c r="M372" s="1"/>
      <c r="N372" s="1"/>
      <c r="O372" s="1"/>
      <c r="P372" s="1"/>
      <c r="Q372" s="1"/>
      <c r="R372" s="1"/>
      <c r="S372" s="1"/>
      <c r="T372" s="1"/>
      <c r="U372" s="1"/>
      <c r="V372" s="1"/>
      <c r="W372" s="1"/>
    </row>
    <row r="373" spans="1:23">
      <c r="A373" s="223"/>
      <c r="B373" s="1"/>
      <c r="C373" s="1"/>
      <c r="D373" s="1"/>
      <c r="E373" s="1"/>
      <c r="F373" s="1"/>
      <c r="G373" s="1"/>
      <c r="H373" s="1"/>
      <c r="I373" s="1"/>
      <c r="J373" s="1"/>
      <c r="K373" s="1"/>
      <c r="L373" s="1"/>
      <c r="M373" s="1"/>
      <c r="N373" s="1"/>
      <c r="O373" s="1"/>
      <c r="P373" s="1"/>
      <c r="Q373" s="1"/>
      <c r="R373" s="1"/>
      <c r="S373" s="1"/>
      <c r="T373" s="1"/>
      <c r="U373" s="1"/>
      <c r="V373" s="1"/>
      <c r="W373" s="1"/>
    </row>
    <row r="374" spans="1:23">
      <c r="A374" s="223"/>
      <c r="B374" s="1"/>
      <c r="C374" s="1"/>
      <c r="D374" s="1"/>
      <c r="E374" s="1"/>
      <c r="F374" s="1"/>
      <c r="G374" s="1"/>
      <c r="H374" s="1"/>
      <c r="I374" s="1"/>
      <c r="J374" s="1"/>
      <c r="K374" s="1"/>
      <c r="L374" s="1"/>
      <c r="M374" s="1"/>
      <c r="N374" s="1"/>
      <c r="O374" s="1"/>
      <c r="P374" s="1"/>
      <c r="Q374" s="1"/>
      <c r="R374" s="1"/>
      <c r="S374" s="1"/>
      <c r="T374" s="1"/>
      <c r="U374" s="1"/>
      <c r="V374" s="1"/>
      <c r="W374" s="1"/>
    </row>
    <row r="375" spans="1:23">
      <c r="A375" s="223"/>
      <c r="B375" s="1"/>
      <c r="C375" s="1"/>
      <c r="D375" s="1"/>
      <c r="E375" s="1"/>
      <c r="F375" s="1"/>
      <c r="G375" s="1"/>
      <c r="H375" s="1"/>
      <c r="I375" s="1"/>
      <c r="J375" s="1"/>
      <c r="K375" s="1"/>
      <c r="L375" s="1"/>
      <c r="M375" s="1"/>
      <c r="N375" s="1"/>
      <c r="O375" s="1"/>
      <c r="P375" s="1"/>
      <c r="Q375" s="1"/>
      <c r="R375" s="1"/>
      <c r="S375" s="1"/>
      <c r="T375" s="1"/>
      <c r="U375" s="1"/>
      <c r="V375" s="1"/>
      <c r="W375" s="1"/>
    </row>
    <row r="376" spans="1:23">
      <c r="A376" s="223"/>
      <c r="B376" s="1"/>
      <c r="C376" s="1"/>
      <c r="D376" s="1"/>
      <c r="E376" s="1"/>
      <c r="F376" s="1"/>
      <c r="G376" s="1"/>
      <c r="H376" s="1"/>
      <c r="I376" s="1"/>
      <c r="J376" s="1"/>
      <c r="K376" s="1"/>
      <c r="L376" s="1"/>
      <c r="M376" s="1"/>
      <c r="N376" s="1"/>
      <c r="O376" s="1"/>
      <c r="P376" s="1"/>
      <c r="Q376" s="1"/>
      <c r="R376" s="1"/>
      <c r="S376" s="1"/>
      <c r="T376" s="1"/>
      <c r="U376" s="1"/>
      <c r="V376" s="1"/>
      <c r="W376" s="1"/>
    </row>
    <row r="377" spans="1:23">
      <c r="A377" s="223"/>
      <c r="B377" s="1"/>
      <c r="C377" s="1"/>
      <c r="D377" s="1"/>
      <c r="E377" s="1"/>
      <c r="F377" s="1"/>
      <c r="G377" s="1"/>
      <c r="H377" s="1"/>
      <c r="I377" s="1"/>
      <c r="J377" s="1"/>
      <c r="K377" s="1"/>
      <c r="L377" s="1"/>
      <c r="M377" s="1"/>
      <c r="N377" s="1"/>
      <c r="O377" s="1"/>
      <c r="P377" s="1"/>
      <c r="Q377" s="1"/>
      <c r="R377" s="1"/>
      <c r="S377" s="1"/>
      <c r="T377" s="1"/>
      <c r="U377" s="1"/>
      <c r="V377" s="1"/>
      <c r="W377" s="1"/>
    </row>
    <row r="378" spans="1:23">
      <c r="A378" s="223"/>
      <c r="B378" s="1"/>
      <c r="C378" s="1"/>
      <c r="D378" s="1"/>
      <c r="E378" s="1"/>
      <c r="F378" s="1"/>
      <c r="G378" s="1"/>
      <c r="H378" s="1"/>
      <c r="I378" s="1"/>
      <c r="J378" s="1"/>
      <c r="K378" s="1"/>
      <c r="L378" s="1"/>
      <c r="M378" s="1"/>
      <c r="N378" s="1"/>
      <c r="O378" s="1"/>
      <c r="P378" s="1"/>
      <c r="Q378" s="1"/>
      <c r="R378" s="1"/>
      <c r="S378" s="1"/>
      <c r="T378" s="1"/>
      <c r="U378" s="1"/>
      <c r="V378" s="1"/>
      <c r="W378" s="1"/>
    </row>
    <row r="379" spans="1:23">
      <c r="A379" s="223"/>
      <c r="B379" s="1"/>
      <c r="C379" s="1"/>
      <c r="D379" s="1"/>
      <c r="E379" s="1"/>
      <c r="F379" s="1"/>
      <c r="G379" s="1"/>
      <c r="H379" s="1"/>
      <c r="I379" s="1"/>
      <c r="J379" s="1"/>
      <c r="K379" s="1"/>
      <c r="L379" s="1"/>
      <c r="M379" s="1"/>
      <c r="N379" s="1"/>
      <c r="O379" s="1"/>
      <c r="P379" s="1"/>
      <c r="Q379" s="1"/>
      <c r="R379" s="1"/>
      <c r="S379" s="1"/>
      <c r="T379" s="1"/>
      <c r="U379" s="1"/>
      <c r="V379" s="1"/>
      <c r="W379" s="1"/>
    </row>
    <row r="380" spans="1:23">
      <c r="A380" s="223"/>
      <c r="B380" s="1"/>
      <c r="C380" s="1"/>
      <c r="D380" s="1"/>
      <c r="E380" s="1"/>
      <c r="F380" s="1"/>
      <c r="G380" s="1"/>
      <c r="H380" s="1"/>
      <c r="I380" s="1"/>
      <c r="J380" s="1"/>
      <c r="K380" s="1"/>
      <c r="L380" s="1"/>
      <c r="M380" s="1"/>
      <c r="N380" s="1"/>
      <c r="O380" s="1"/>
      <c r="P380" s="1"/>
      <c r="Q380" s="1"/>
      <c r="R380" s="1"/>
      <c r="S380" s="1"/>
      <c r="T380" s="1"/>
      <c r="U380" s="1"/>
      <c r="V380" s="1"/>
      <c r="W380" s="1"/>
    </row>
    <row r="381" spans="1:23">
      <c r="A381" s="223"/>
      <c r="B381" s="1"/>
      <c r="C381" s="1"/>
      <c r="D381" s="1"/>
      <c r="E381" s="1"/>
      <c r="F381" s="1"/>
      <c r="G381" s="1"/>
      <c r="H381" s="1"/>
      <c r="I381" s="1"/>
      <c r="J381" s="1"/>
      <c r="K381" s="1"/>
      <c r="L381" s="1"/>
      <c r="M381" s="1"/>
      <c r="N381" s="1"/>
      <c r="O381" s="1"/>
      <c r="P381" s="1"/>
      <c r="Q381" s="1"/>
      <c r="R381" s="1"/>
      <c r="S381" s="1"/>
      <c r="T381" s="1"/>
      <c r="U381" s="1"/>
      <c r="V381" s="1"/>
      <c r="W381" s="1"/>
    </row>
    <row r="382" spans="1:23">
      <c r="A382" s="223"/>
      <c r="B382" s="1"/>
      <c r="C382" s="1"/>
      <c r="D382" s="1"/>
      <c r="E382" s="1"/>
      <c r="F382" s="1"/>
      <c r="G382" s="1"/>
      <c r="H382" s="1"/>
      <c r="I382" s="1"/>
      <c r="J382" s="1"/>
      <c r="K382" s="1"/>
      <c r="L382" s="1"/>
      <c r="M382" s="1"/>
      <c r="N382" s="1"/>
      <c r="O382" s="1"/>
      <c r="P382" s="1"/>
      <c r="Q382" s="1"/>
      <c r="R382" s="1"/>
      <c r="S382" s="1"/>
      <c r="T382" s="1"/>
      <c r="U382" s="1"/>
      <c r="V382" s="1"/>
      <c r="W382" s="1"/>
    </row>
    <row r="383" spans="1:23">
      <c r="A383" s="223"/>
      <c r="B383" s="1"/>
      <c r="C383" s="1"/>
      <c r="D383" s="1"/>
      <c r="E383" s="1"/>
      <c r="F383" s="1"/>
      <c r="G383" s="1"/>
      <c r="H383" s="1"/>
      <c r="I383" s="1"/>
      <c r="J383" s="1"/>
      <c r="K383" s="1"/>
      <c r="L383" s="1"/>
      <c r="M383" s="1"/>
      <c r="N383" s="1"/>
      <c r="O383" s="1"/>
      <c r="P383" s="1"/>
      <c r="Q383" s="1"/>
      <c r="R383" s="1"/>
      <c r="S383" s="1"/>
      <c r="T383" s="1"/>
      <c r="U383" s="1"/>
      <c r="V383" s="1"/>
      <c r="W383" s="1"/>
    </row>
    <row r="384" spans="1:23">
      <c r="A384" s="223"/>
      <c r="B384" s="1"/>
      <c r="C384" s="1"/>
      <c r="D384" s="1"/>
      <c r="E384" s="1"/>
      <c r="F384" s="1"/>
      <c r="G384" s="1"/>
      <c r="H384" s="1"/>
      <c r="I384" s="1"/>
      <c r="J384" s="1"/>
      <c r="K384" s="1"/>
      <c r="L384" s="1"/>
      <c r="M384" s="1"/>
      <c r="N384" s="1"/>
      <c r="O384" s="1"/>
      <c r="P384" s="1"/>
      <c r="Q384" s="1"/>
      <c r="R384" s="1"/>
      <c r="S384" s="1"/>
      <c r="T384" s="1"/>
      <c r="U384" s="1"/>
      <c r="V384" s="1"/>
      <c r="W384" s="1"/>
    </row>
    <row r="385" spans="1:23">
      <c r="A385" s="223"/>
      <c r="B385" s="1"/>
      <c r="C385" s="1"/>
      <c r="D385" s="1"/>
      <c r="E385" s="1"/>
      <c r="F385" s="1"/>
      <c r="G385" s="1"/>
      <c r="H385" s="1"/>
      <c r="I385" s="1"/>
      <c r="J385" s="1"/>
      <c r="K385" s="1"/>
      <c r="L385" s="1"/>
      <c r="M385" s="1"/>
      <c r="N385" s="1"/>
      <c r="O385" s="1"/>
      <c r="P385" s="1"/>
      <c r="Q385" s="1"/>
      <c r="R385" s="1"/>
      <c r="S385" s="1"/>
      <c r="T385" s="1"/>
      <c r="U385" s="1"/>
      <c r="V385" s="1"/>
      <c r="W385" s="1"/>
    </row>
    <row r="386" spans="1:23">
      <c r="A386" s="223"/>
      <c r="B386" s="1"/>
      <c r="C386" s="1"/>
      <c r="D386" s="1"/>
      <c r="E386" s="1"/>
      <c r="F386" s="1"/>
      <c r="G386" s="1"/>
      <c r="H386" s="1"/>
      <c r="I386" s="1"/>
      <c r="J386" s="1"/>
      <c r="K386" s="1"/>
      <c r="L386" s="1"/>
      <c r="M386" s="1"/>
      <c r="N386" s="1"/>
      <c r="O386" s="1"/>
      <c r="P386" s="1"/>
      <c r="Q386" s="1"/>
      <c r="R386" s="1"/>
      <c r="S386" s="1"/>
      <c r="T386" s="1"/>
      <c r="U386" s="1"/>
      <c r="V386" s="1"/>
      <c r="W386" s="1"/>
    </row>
    <row r="387" spans="1:23">
      <c r="A387" s="223"/>
      <c r="B387" s="1"/>
      <c r="C387" s="1"/>
      <c r="D387" s="1"/>
      <c r="E387" s="1"/>
      <c r="F387" s="1"/>
      <c r="G387" s="1"/>
      <c r="H387" s="1"/>
      <c r="I387" s="1"/>
      <c r="J387" s="1"/>
      <c r="K387" s="1"/>
      <c r="L387" s="1"/>
      <c r="M387" s="1"/>
      <c r="N387" s="1"/>
      <c r="O387" s="1"/>
      <c r="P387" s="1"/>
      <c r="Q387" s="1"/>
      <c r="R387" s="1"/>
      <c r="S387" s="1"/>
      <c r="T387" s="1"/>
      <c r="U387" s="1"/>
      <c r="V387" s="1"/>
      <c r="W387" s="1"/>
    </row>
    <row r="388" spans="1:23">
      <c r="A388" s="223"/>
      <c r="B388" s="1"/>
      <c r="C388" s="1"/>
      <c r="D388" s="1"/>
      <c r="E388" s="1"/>
      <c r="F388" s="1"/>
      <c r="G388" s="1"/>
      <c r="H388" s="1"/>
      <c r="I388" s="1"/>
      <c r="J388" s="1"/>
      <c r="K388" s="1"/>
      <c r="L388" s="1"/>
      <c r="M388" s="1"/>
      <c r="N388" s="1"/>
      <c r="O388" s="1"/>
      <c r="P388" s="1"/>
      <c r="Q388" s="1"/>
      <c r="R388" s="1"/>
      <c r="S388" s="1"/>
      <c r="T388" s="1"/>
      <c r="U388" s="1"/>
      <c r="V388" s="1"/>
      <c r="W388" s="1"/>
    </row>
    <row r="389" spans="1:23">
      <c r="A389" s="223"/>
      <c r="B389" s="1"/>
      <c r="C389" s="1"/>
      <c r="D389" s="1"/>
      <c r="E389" s="1"/>
      <c r="F389" s="1"/>
      <c r="G389" s="1"/>
      <c r="H389" s="1"/>
      <c r="I389" s="1"/>
      <c r="J389" s="1"/>
      <c r="K389" s="1"/>
      <c r="L389" s="1"/>
      <c r="M389" s="1"/>
      <c r="N389" s="1"/>
      <c r="O389" s="1"/>
      <c r="P389" s="1"/>
      <c r="Q389" s="1"/>
      <c r="R389" s="1"/>
      <c r="S389" s="1"/>
      <c r="T389" s="1"/>
      <c r="U389" s="1"/>
      <c r="V389" s="1"/>
      <c r="W389" s="1"/>
    </row>
    <row r="390" spans="1:23">
      <c r="A390" s="223"/>
      <c r="B390" s="1"/>
      <c r="C390" s="1"/>
      <c r="D390" s="1"/>
      <c r="E390" s="1"/>
      <c r="F390" s="1"/>
      <c r="G390" s="1"/>
      <c r="H390" s="1"/>
      <c r="I390" s="1"/>
      <c r="J390" s="1"/>
      <c r="K390" s="1"/>
      <c r="L390" s="1"/>
      <c r="M390" s="1"/>
      <c r="N390" s="1"/>
      <c r="O390" s="1"/>
      <c r="P390" s="1"/>
      <c r="Q390" s="1"/>
      <c r="R390" s="1"/>
      <c r="S390" s="1"/>
      <c r="T390" s="1"/>
      <c r="U390" s="1"/>
      <c r="V390" s="1"/>
      <c r="W390" s="1"/>
    </row>
    <row r="391" spans="1:23">
      <c r="A391" s="223"/>
      <c r="B391" s="1"/>
      <c r="C391" s="1"/>
      <c r="D391" s="1"/>
      <c r="E391" s="1"/>
      <c r="F391" s="1"/>
      <c r="G391" s="1"/>
      <c r="H391" s="1"/>
      <c r="I391" s="1"/>
      <c r="J391" s="1"/>
      <c r="K391" s="1"/>
      <c r="L391" s="1"/>
      <c r="M391" s="1"/>
      <c r="N391" s="1"/>
      <c r="O391" s="1"/>
      <c r="P391" s="1"/>
      <c r="Q391" s="1"/>
      <c r="R391" s="1"/>
      <c r="S391" s="1"/>
      <c r="T391" s="1"/>
      <c r="U391" s="1"/>
      <c r="V391" s="1"/>
      <c r="W391" s="1"/>
    </row>
    <row r="392" spans="1:23">
      <c r="A392" s="223"/>
      <c r="B392" s="1"/>
      <c r="C392" s="1"/>
      <c r="D392" s="1"/>
      <c r="E392" s="1"/>
      <c r="F392" s="1"/>
      <c r="G392" s="1"/>
      <c r="H392" s="1"/>
      <c r="I392" s="1"/>
      <c r="J392" s="1"/>
      <c r="K392" s="1"/>
      <c r="L392" s="1"/>
      <c r="M392" s="1"/>
      <c r="N392" s="1"/>
      <c r="O392" s="1"/>
      <c r="P392" s="1"/>
      <c r="Q392" s="1"/>
      <c r="R392" s="1"/>
      <c r="S392" s="1"/>
      <c r="T392" s="1"/>
      <c r="U392" s="1"/>
      <c r="V392" s="1"/>
      <c r="W392" s="1"/>
    </row>
    <row r="393" spans="1:23">
      <c r="A393" s="223"/>
      <c r="B393" s="1"/>
      <c r="C393" s="1"/>
      <c r="D393" s="1"/>
      <c r="E393" s="1"/>
      <c r="F393" s="1"/>
      <c r="G393" s="1"/>
      <c r="H393" s="1"/>
      <c r="I393" s="1"/>
      <c r="J393" s="1"/>
      <c r="K393" s="1"/>
      <c r="L393" s="1"/>
      <c r="M393" s="1"/>
      <c r="N393" s="1"/>
      <c r="O393" s="1"/>
      <c r="P393" s="1"/>
      <c r="Q393" s="1"/>
      <c r="R393" s="1"/>
      <c r="S393" s="1"/>
      <c r="T393" s="1"/>
      <c r="U393" s="1"/>
      <c r="V393" s="1"/>
      <c r="W393" s="1"/>
    </row>
    <row r="394" spans="1:23">
      <c r="A394" s="223"/>
      <c r="B394" s="1"/>
      <c r="C394" s="1"/>
      <c r="D394" s="1"/>
      <c r="E394" s="1"/>
      <c r="F394" s="1"/>
      <c r="G394" s="1"/>
      <c r="H394" s="1"/>
      <c r="I394" s="1"/>
      <c r="J394" s="1"/>
      <c r="K394" s="1"/>
      <c r="L394" s="1"/>
      <c r="M394" s="1"/>
      <c r="N394" s="1"/>
      <c r="O394" s="1"/>
      <c r="P394" s="1"/>
      <c r="Q394" s="1"/>
      <c r="R394" s="1"/>
      <c r="S394" s="1"/>
      <c r="T394" s="1"/>
      <c r="U394" s="1"/>
      <c r="V394" s="1"/>
      <c r="W394" s="1"/>
    </row>
    <row r="395" spans="1:23">
      <c r="A395" s="223"/>
      <c r="B395" s="1"/>
      <c r="C395" s="1"/>
      <c r="D395" s="1"/>
      <c r="E395" s="1"/>
      <c r="F395" s="1"/>
      <c r="G395" s="1"/>
      <c r="H395" s="1"/>
      <c r="I395" s="1"/>
      <c r="J395" s="1"/>
      <c r="K395" s="1"/>
      <c r="L395" s="1"/>
      <c r="M395" s="1"/>
      <c r="N395" s="1"/>
      <c r="O395" s="1"/>
      <c r="P395" s="1"/>
      <c r="Q395" s="1"/>
      <c r="R395" s="1"/>
      <c r="S395" s="1"/>
      <c r="T395" s="1"/>
      <c r="U395" s="1"/>
      <c r="V395" s="1"/>
      <c r="W395" s="1"/>
    </row>
    <row r="396" spans="1:23">
      <c r="A396" s="223"/>
      <c r="B396" s="1"/>
      <c r="C396" s="1"/>
      <c r="D396" s="1"/>
      <c r="E396" s="1"/>
      <c r="F396" s="1"/>
      <c r="G396" s="1"/>
      <c r="H396" s="1"/>
      <c r="I396" s="1"/>
      <c r="J396" s="1"/>
      <c r="K396" s="1"/>
      <c r="L396" s="1"/>
      <c r="M396" s="1"/>
      <c r="N396" s="1"/>
      <c r="O396" s="1"/>
      <c r="P396" s="1"/>
      <c r="Q396" s="1"/>
      <c r="R396" s="1"/>
      <c r="S396" s="1"/>
      <c r="T396" s="1"/>
      <c r="U396" s="1"/>
      <c r="V396" s="1"/>
      <c r="W396" s="1"/>
    </row>
    <row r="397" spans="1:23">
      <c r="A397" s="223"/>
      <c r="B397" s="1"/>
      <c r="C397" s="1"/>
      <c r="D397" s="1"/>
      <c r="E397" s="1"/>
      <c r="F397" s="1"/>
      <c r="G397" s="1"/>
      <c r="H397" s="1"/>
      <c r="I397" s="1"/>
      <c r="J397" s="1"/>
      <c r="K397" s="1"/>
      <c r="L397" s="1"/>
      <c r="M397" s="1"/>
      <c r="N397" s="1"/>
      <c r="O397" s="1"/>
      <c r="P397" s="1"/>
      <c r="Q397" s="1"/>
      <c r="R397" s="1"/>
      <c r="S397" s="1"/>
      <c r="T397" s="1"/>
      <c r="U397" s="1"/>
      <c r="V397" s="1"/>
      <c r="W397" s="1"/>
    </row>
    <row r="398" spans="1:23">
      <c r="A398" s="223"/>
      <c r="B398" s="1"/>
      <c r="C398" s="1"/>
      <c r="D398" s="1"/>
      <c r="E398" s="1"/>
      <c r="F398" s="1"/>
      <c r="G398" s="1"/>
      <c r="H398" s="1"/>
      <c r="I398" s="1"/>
      <c r="J398" s="1"/>
      <c r="K398" s="1"/>
      <c r="L398" s="1"/>
      <c r="M398" s="1"/>
      <c r="N398" s="1"/>
      <c r="O398" s="1"/>
      <c r="P398" s="1"/>
      <c r="Q398" s="1"/>
      <c r="R398" s="1"/>
      <c r="S398" s="1"/>
      <c r="T398" s="1"/>
      <c r="U398" s="1"/>
      <c r="V398" s="1"/>
      <c r="W398" s="1"/>
    </row>
    <row r="399" spans="1:23">
      <c r="A399" s="223"/>
      <c r="B399" s="1"/>
      <c r="C399" s="1"/>
      <c r="D399" s="1"/>
      <c r="E399" s="1"/>
      <c r="F399" s="1"/>
      <c r="G399" s="1"/>
      <c r="H399" s="1"/>
      <c r="I399" s="1"/>
      <c r="J399" s="1"/>
      <c r="K399" s="1"/>
      <c r="L399" s="1"/>
      <c r="M399" s="1"/>
      <c r="N399" s="1"/>
      <c r="O399" s="1"/>
      <c r="P399" s="1"/>
      <c r="Q399" s="1"/>
      <c r="R399" s="1"/>
      <c r="S399" s="1"/>
      <c r="T399" s="1"/>
      <c r="U399" s="1"/>
      <c r="V399" s="1"/>
      <c r="W399" s="1"/>
    </row>
    <row r="400" spans="1:23">
      <c r="A400" s="223"/>
      <c r="B400" s="1"/>
      <c r="C400" s="1"/>
      <c r="D400" s="1"/>
      <c r="E400" s="1"/>
      <c r="F400" s="1"/>
      <c r="G400" s="1"/>
      <c r="H400" s="1"/>
      <c r="I400" s="1"/>
      <c r="J400" s="1"/>
      <c r="K400" s="1"/>
      <c r="L400" s="1"/>
      <c r="M400" s="1"/>
      <c r="N400" s="1"/>
      <c r="O400" s="1"/>
      <c r="P400" s="1"/>
      <c r="Q400" s="1"/>
      <c r="R400" s="1"/>
      <c r="S400" s="1"/>
      <c r="T400" s="1"/>
      <c r="U400" s="1"/>
      <c r="V400" s="1"/>
      <c r="W400" s="1"/>
    </row>
    <row r="401" spans="1:23">
      <c r="A401" s="223"/>
      <c r="B401" s="1"/>
      <c r="C401" s="1"/>
      <c r="D401" s="1"/>
      <c r="E401" s="1"/>
      <c r="F401" s="1"/>
      <c r="G401" s="1"/>
      <c r="H401" s="1"/>
      <c r="I401" s="1"/>
      <c r="J401" s="1"/>
      <c r="K401" s="1"/>
      <c r="L401" s="1"/>
      <c r="M401" s="1"/>
      <c r="N401" s="1"/>
      <c r="O401" s="1"/>
      <c r="P401" s="1"/>
      <c r="Q401" s="1"/>
      <c r="R401" s="1"/>
      <c r="S401" s="1"/>
      <c r="T401" s="1"/>
      <c r="U401" s="1"/>
      <c r="V401" s="1"/>
      <c r="W401" s="1"/>
    </row>
    <row r="402" spans="1:23">
      <c r="A402" s="223"/>
      <c r="B402" s="1"/>
      <c r="C402" s="1"/>
      <c r="D402" s="1"/>
      <c r="E402" s="1"/>
      <c r="F402" s="1"/>
      <c r="G402" s="1"/>
      <c r="H402" s="1"/>
      <c r="I402" s="1"/>
      <c r="J402" s="1"/>
      <c r="K402" s="1"/>
      <c r="L402" s="1"/>
      <c r="M402" s="1"/>
      <c r="N402" s="1"/>
      <c r="O402" s="1"/>
      <c r="P402" s="1"/>
      <c r="Q402" s="1"/>
      <c r="R402" s="1"/>
      <c r="S402" s="1"/>
      <c r="T402" s="1"/>
      <c r="U402" s="1"/>
      <c r="V402" s="1"/>
      <c r="W402" s="1"/>
    </row>
    <row r="403" spans="1:23">
      <c r="A403" s="223"/>
      <c r="B403" s="1"/>
      <c r="C403" s="1"/>
      <c r="D403" s="1"/>
      <c r="E403" s="1"/>
      <c r="F403" s="1"/>
      <c r="G403" s="1"/>
      <c r="H403" s="1"/>
      <c r="I403" s="1"/>
      <c r="J403" s="1"/>
      <c r="K403" s="1"/>
      <c r="L403" s="1"/>
      <c r="M403" s="1"/>
      <c r="N403" s="1"/>
      <c r="O403" s="1"/>
      <c r="P403" s="1"/>
      <c r="Q403" s="1"/>
      <c r="R403" s="1"/>
      <c r="S403" s="1"/>
      <c r="T403" s="1"/>
      <c r="U403" s="1"/>
      <c r="V403" s="1"/>
      <c r="W403" s="1"/>
    </row>
    <row r="404" spans="1:23">
      <c r="A404" s="223"/>
      <c r="B404" s="1"/>
      <c r="C404" s="1"/>
      <c r="D404" s="1"/>
      <c r="E404" s="1"/>
      <c r="F404" s="1"/>
      <c r="G404" s="1"/>
      <c r="H404" s="1"/>
      <c r="I404" s="1"/>
      <c r="J404" s="1"/>
      <c r="K404" s="1"/>
      <c r="L404" s="1"/>
      <c r="M404" s="1"/>
      <c r="N404" s="1"/>
      <c r="O404" s="1"/>
      <c r="P404" s="1"/>
      <c r="Q404" s="1"/>
      <c r="R404" s="1"/>
      <c r="S404" s="1"/>
      <c r="T404" s="1"/>
      <c r="U404" s="1"/>
      <c r="V404" s="1"/>
      <c r="W404" s="1"/>
    </row>
    <row r="405" spans="1:23">
      <c r="A405" s="223"/>
      <c r="B405" s="1"/>
      <c r="C405" s="1"/>
      <c r="D405" s="1"/>
      <c r="E405" s="1"/>
      <c r="F405" s="1"/>
      <c r="G405" s="1"/>
      <c r="H405" s="1"/>
      <c r="I405" s="1"/>
      <c r="J405" s="1"/>
      <c r="K405" s="1"/>
      <c r="L405" s="1"/>
      <c r="M405" s="1"/>
      <c r="N405" s="1"/>
      <c r="O405" s="1"/>
      <c r="P405" s="1"/>
      <c r="Q405" s="1"/>
      <c r="R405" s="1"/>
      <c r="S405" s="1"/>
      <c r="T405" s="1"/>
      <c r="U405" s="1"/>
      <c r="V405" s="1"/>
      <c r="W405" s="1"/>
    </row>
    <row r="406" spans="1:23">
      <c r="A406" s="223"/>
      <c r="B406" s="1"/>
      <c r="C406" s="1"/>
      <c r="D406" s="1"/>
      <c r="E406" s="1"/>
      <c r="F406" s="1"/>
      <c r="G406" s="1"/>
      <c r="H406" s="1"/>
      <c r="I406" s="1"/>
      <c r="J406" s="1"/>
      <c r="K406" s="1"/>
      <c r="L406" s="1"/>
      <c r="M406" s="1"/>
      <c r="N406" s="1"/>
      <c r="O406" s="1"/>
      <c r="P406" s="1"/>
      <c r="Q406" s="1"/>
      <c r="R406" s="1"/>
      <c r="S406" s="1"/>
      <c r="T406" s="1"/>
      <c r="U406" s="1"/>
      <c r="V406" s="1"/>
      <c r="W406" s="1"/>
    </row>
    <row r="407" spans="1:23">
      <c r="A407" s="223"/>
      <c r="B407" s="1"/>
      <c r="C407" s="1"/>
      <c r="D407" s="1"/>
      <c r="E407" s="1"/>
      <c r="F407" s="1"/>
      <c r="G407" s="1"/>
      <c r="H407" s="1"/>
      <c r="I407" s="1"/>
      <c r="J407" s="1"/>
      <c r="K407" s="1"/>
      <c r="L407" s="1"/>
      <c r="M407" s="1"/>
      <c r="N407" s="1"/>
      <c r="O407" s="1"/>
      <c r="P407" s="1"/>
      <c r="Q407" s="1"/>
      <c r="R407" s="1"/>
      <c r="S407" s="1"/>
      <c r="T407" s="1"/>
      <c r="U407" s="1"/>
      <c r="V407" s="1"/>
      <c r="W407" s="1"/>
    </row>
    <row r="408" spans="1:23">
      <c r="A408" s="223"/>
      <c r="B408" s="1"/>
      <c r="C408" s="1"/>
      <c r="D408" s="1"/>
      <c r="E408" s="1"/>
      <c r="F408" s="1"/>
      <c r="G408" s="1"/>
      <c r="H408" s="1"/>
      <c r="I408" s="1"/>
      <c r="J408" s="1"/>
      <c r="K408" s="1"/>
      <c r="L408" s="1"/>
      <c r="M408" s="1"/>
      <c r="N408" s="1"/>
      <c r="O408" s="1"/>
      <c r="P408" s="1"/>
      <c r="Q408" s="1"/>
      <c r="R408" s="1"/>
      <c r="S408" s="1"/>
      <c r="T408" s="1"/>
      <c r="U408" s="1"/>
      <c r="V408" s="1"/>
      <c r="W408" s="1"/>
    </row>
    <row r="409" spans="1:23">
      <c r="A409" s="223"/>
      <c r="B409" s="1"/>
      <c r="C409" s="1"/>
      <c r="D409" s="1"/>
      <c r="E409" s="1"/>
      <c r="F409" s="1"/>
      <c r="G409" s="1"/>
      <c r="H409" s="1"/>
      <c r="I409" s="1"/>
      <c r="J409" s="1"/>
      <c r="K409" s="1"/>
      <c r="L409" s="1"/>
      <c r="M409" s="1"/>
      <c r="N409" s="1"/>
      <c r="O409" s="1"/>
      <c r="P409" s="1"/>
      <c r="Q409" s="1"/>
      <c r="R409" s="1"/>
      <c r="S409" s="1"/>
      <c r="T409" s="1"/>
      <c r="U409" s="1"/>
      <c r="V409" s="1"/>
      <c r="W409" s="1"/>
    </row>
    <row r="410" spans="1:23">
      <c r="A410" s="223"/>
      <c r="B410" s="1"/>
      <c r="C410" s="1"/>
      <c r="D410" s="1"/>
      <c r="E410" s="1"/>
      <c r="F410" s="1"/>
      <c r="G410" s="1"/>
      <c r="H410" s="1"/>
      <c r="I410" s="1"/>
      <c r="J410" s="1"/>
      <c r="K410" s="1"/>
      <c r="L410" s="1"/>
      <c r="M410" s="1"/>
      <c r="N410" s="1"/>
      <c r="O410" s="1"/>
      <c r="P410" s="1"/>
      <c r="Q410" s="1"/>
      <c r="R410" s="1"/>
      <c r="S410" s="1"/>
      <c r="T410" s="1"/>
      <c r="U410" s="1"/>
      <c r="V410" s="1"/>
      <c r="W410" s="1"/>
    </row>
    <row r="411" spans="1:23">
      <c r="A411" s="223"/>
      <c r="B411" s="1"/>
      <c r="C411" s="1"/>
      <c r="D411" s="1"/>
      <c r="E411" s="1"/>
      <c r="F411" s="1"/>
      <c r="G411" s="1"/>
      <c r="H411" s="1"/>
      <c r="I411" s="1"/>
      <c r="J411" s="1"/>
      <c r="K411" s="1"/>
      <c r="L411" s="1"/>
      <c r="M411" s="1"/>
      <c r="N411" s="1"/>
      <c r="O411" s="1"/>
      <c r="P411" s="1"/>
      <c r="Q411" s="1"/>
      <c r="R411" s="1"/>
      <c r="S411" s="1"/>
      <c r="T411" s="1"/>
      <c r="U411" s="1"/>
      <c r="V411" s="1"/>
      <c r="W411" s="1"/>
    </row>
    <row r="412" spans="1:23">
      <c r="A412" s="223"/>
      <c r="B412" s="1"/>
      <c r="C412" s="1"/>
      <c r="D412" s="1"/>
      <c r="E412" s="1"/>
      <c r="F412" s="1"/>
      <c r="G412" s="1"/>
      <c r="H412" s="1"/>
      <c r="I412" s="1"/>
      <c r="J412" s="1"/>
      <c r="K412" s="1"/>
      <c r="L412" s="1"/>
      <c r="M412" s="1"/>
      <c r="N412" s="1"/>
      <c r="O412" s="1"/>
      <c r="P412" s="1"/>
      <c r="Q412" s="1"/>
      <c r="R412" s="1"/>
      <c r="S412" s="1"/>
      <c r="T412" s="1"/>
      <c r="U412" s="1"/>
      <c r="V412" s="1"/>
      <c r="W412" s="1"/>
    </row>
    <row r="413" spans="1:23">
      <c r="A413" s="223"/>
      <c r="B413" s="1"/>
      <c r="C413" s="1"/>
      <c r="D413" s="1"/>
      <c r="E413" s="1"/>
      <c r="F413" s="1"/>
      <c r="G413" s="1"/>
      <c r="H413" s="1"/>
      <c r="I413" s="1"/>
      <c r="J413" s="1"/>
      <c r="K413" s="1"/>
      <c r="L413" s="1"/>
      <c r="M413" s="1"/>
      <c r="N413" s="1"/>
      <c r="O413" s="1"/>
      <c r="P413" s="1"/>
      <c r="Q413" s="1"/>
      <c r="R413" s="1"/>
      <c r="S413" s="1"/>
      <c r="T413" s="1"/>
      <c r="U413" s="1"/>
      <c r="V413" s="1"/>
      <c r="W413" s="1"/>
    </row>
    <row r="414" spans="1:23">
      <c r="A414" s="223"/>
      <c r="B414" s="1"/>
      <c r="C414" s="1"/>
      <c r="D414" s="1"/>
      <c r="E414" s="1"/>
      <c r="F414" s="1"/>
      <c r="G414" s="1"/>
      <c r="H414" s="1"/>
      <c r="I414" s="1"/>
      <c r="J414" s="1"/>
      <c r="K414" s="1"/>
      <c r="L414" s="1"/>
      <c r="M414" s="1"/>
      <c r="N414" s="1"/>
      <c r="O414" s="1"/>
      <c r="P414" s="1"/>
      <c r="Q414" s="1"/>
      <c r="R414" s="1"/>
      <c r="S414" s="1"/>
      <c r="T414" s="1"/>
      <c r="U414" s="1"/>
      <c r="V414" s="1"/>
      <c r="W414" s="1"/>
    </row>
    <row r="415" spans="1:23">
      <c r="A415" s="223"/>
      <c r="B415" s="1"/>
      <c r="C415" s="1"/>
      <c r="D415" s="1"/>
      <c r="E415" s="1"/>
      <c r="F415" s="1"/>
      <c r="G415" s="1"/>
      <c r="H415" s="1"/>
      <c r="I415" s="1"/>
      <c r="J415" s="1"/>
      <c r="K415" s="1"/>
      <c r="L415" s="1"/>
      <c r="M415" s="1"/>
      <c r="N415" s="1"/>
      <c r="O415" s="1"/>
      <c r="P415" s="1"/>
      <c r="Q415" s="1"/>
      <c r="R415" s="1"/>
      <c r="S415" s="1"/>
      <c r="T415" s="1"/>
      <c r="U415" s="1"/>
      <c r="V415" s="1"/>
      <c r="W415" s="1"/>
    </row>
    <row r="416" spans="1:23">
      <c r="A416" s="223"/>
      <c r="B416" s="1"/>
      <c r="C416" s="1"/>
      <c r="D416" s="1"/>
      <c r="E416" s="1"/>
      <c r="F416" s="1"/>
      <c r="G416" s="1"/>
      <c r="H416" s="1"/>
      <c r="I416" s="1"/>
      <c r="J416" s="1"/>
      <c r="K416" s="1"/>
      <c r="L416" s="1"/>
      <c r="M416" s="1"/>
      <c r="N416" s="1"/>
      <c r="O416" s="1"/>
      <c r="P416" s="1"/>
      <c r="Q416" s="1"/>
      <c r="R416" s="1"/>
      <c r="S416" s="1"/>
      <c r="T416" s="1"/>
      <c r="U416" s="1"/>
      <c r="V416" s="1"/>
      <c r="W416" s="1"/>
    </row>
    <row r="417" spans="1:23">
      <c r="A417" s="223"/>
      <c r="B417" s="1"/>
      <c r="C417" s="1"/>
      <c r="D417" s="1"/>
      <c r="E417" s="1"/>
      <c r="F417" s="1"/>
      <c r="G417" s="1"/>
      <c r="H417" s="1"/>
      <c r="I417" s="1"/>
      <c r="J417" s="1"/>
      <c r="K417" s="1"/>
      <c r="L417" s="1"/>
      <c r="M417" s="1"/>
      <c r="N417" s="1"/>
      <c r="O417" s="1"/>
      <c r="P417" s="1"/>
      <c r="Q417" s="1"/>
      <c r="R417" s="1"/>
      <c r="S417" s="1"/>
      <c r="T417" s="1"/>
      <c r="U417" s="1"/>
      <c r="V417" s="1"/>
      <c r="W417" s="1"/>
    </row>
    <row r="418" spans="1:23">
      <c r="A418" s="223"/>
      <c r="B418" s="1"/>
      <c r="C418" s="1"/>
      <c r="D418" s="1"/>
      <c r="E418" s="1"/>
      <c r="F418" s="1"/>
      <c r="G418" s="1"/>
      <c r="H418" s="1"/>
      <c r="I418" s="1"/>
      <c r="J418" s="1"/>
      <c r="K418" s="1"/>
      <c r="L418" s="1"/>
      <c r="M418" s="1"/>
      <c r="N418" s="1"/>
      <c r="O418" s="1"/>
      <c r="P418" s="1"/>
      <c r="Q418" s="1"/>
      <c r="R418" s="1"/>
      <c r="S418" s="1"/>
      <c r="T418" s="1"/>
      <c r="U418" s="1"/>
      <c r="V418" s="1"/>
      <c r="W418" s="1"/>
    </row>
    <row r="419" spans="1:23">
      <c r="A419" s="223"/>
      <c r="B419" s="1"/>
      <c r="C419" s="1"/>
      <c r="D419" s="1"/>
      <c r="E419" s="1"/>
      <c r="F419" s="1"/>
      <c r="G419" s="1"/>
      <c r="H419" s="1"/>
      <c r="I419" s="1"/>
      <c r="J419" s="1"/>
      <c r="K419" s="1"/>
      <c r="L419" s="1"/>
      <c r="M419" s="1"/>
      <c r="N419" s="1"/>
      <c r="O419" s="1"/>
      <c r="P419" s="1"/>
      <c r="Q419" s="1"/>
      <c r="R419" s="1"/>
      <c r="S419" s="1"/>
      <c r="T419" s="1"/>
      <c r="U419" s="1"/>
      <c r="V419" s="1"/>
      <c r="W419" s="1"/>
    </row>
    <row r="420" spans="1:23">
      <c r="A420" s="223"/>
      <c r="B420" s="1"/>
      <c r="C420" s="1"/>
      <c r="D420" s="1"/>
      <c r="E420" s="1"/>
      <c r="F420" s="1"/>
      <c r="G420" s="1"/>
      <c r="H420" s="1"/>
      <c r="I420" s="1"/>
      <c r="J420" s="1"/>
      <c r="K420" s="1"/>
      <c r="L420" s="1"/>
      <c r="M420" s="1"/>
      <c r="N420" s="1"/>
      <c r="O420" s="1"/>
      <c r="P420" s="1"/>
      <c r="Q420" s="1"/>
      <c r="R420" s="1"/>
      <c r="S420" s="1"/>
      <c r="T420" s="1"/>
      <c r="U420" s="1"/>
      <c r="V420" s="1"/>
      <c r="W420" s="1"/>
    </row>
    <row r="421" spans="1:23">
      <c r="A421" s="223"/>
      <c r="B421" s="1"/>
      <c r="C421" s="1"/>
      <c r="D421" s="1"/>
      <c r="E421" s="1"/>
      <c r="F421" s="1"/>
      <c r="G421" s="1"/>
      <c r="H421" s="1"/>
      <c r="I421" s="1"/>
      <c r="J421" s="1"/>
      <c r="K421" s="1"/>
      <c r="L421" s="1"/>
      <c r="M421" s="1"/>
      <c r="N421" s="1"/>
      <c r="O421" s="1"/>
      <c r="P421" s="1"/>
      <c r="Q421" s="1"/>
      <c r="R421" s="1"/>
      <c r="S421" s="1"/>
      <c r="T421" s="1"/>
      <c r="U421" s="1"/>
      <c r="V421" s="1"/>
      <c r="W421" s="1"/>
    </row>
    <row r="422" spans="1:23">
      <c r="A422" s="223"/>
      <c r="B422" s="1"/>
      <c r="C422" s="1"/>
      <c r="D422" s="1"/>
      <c r="E422" s="1"/>
      <c r="F422" s="1"/>
      <c r="G422" s="1"/>
      <c r="H422" s="1"/>
      <c r="I422" s="1"/>
      <c r="J422" s="1"/>
      <c r="K422" s="1"/>
      <c r="L422" s="1"/>
      <c r="M422" s="1"/>
      <c r="N422" s="1"/>
      <c r="O422" s="1"/>
      <c r="P422" s="1"/>
      <c r="Q422" s="1"/>
      <c r="R422" s="1"/>
      <c r="S422" s="1"/>
      <c r="T422" s="1"/>
      <c r="U422" s="1"/>
      <c r="V422" s="1"/>
      <c r="W422" s="1"/>
    </row>
    <row r="423" spans="1:23">
      <c r="A423" s="223"/>
      <c r="B423" s="1"/>
      <c r="C423" s="1"/>
      <c r="D423" s="1"/>
      <c r="E423" s="1"/>
      <c r="F423" s="1"/>
      <c r="G423" s="1"/>
      <c r="H423" s="1"/>
      <c r="I423" s="1"/>
      <c r="J423" s="1"/>
      <c r="K423" s="1"/>
      <c r="L423" s="1"/>
      <c r="M423" s="1"/>
      <c r="N423" s="1"/>
      <c r="O423" s="1"/>
      <c r="P423" s="1"/>
      <c r="Q423" s="1"/>
      <c r="R423" s="1"/>
      <c r="S423" s="1"/>
      <c r="T423" s="1"/>
      <c r="U423" s="1"/>
      <c r="V423" s="1"/>
      <c r="W423" s="1"/>
    </row>
    <row r="424" spans="1:23">
      <c r="A424" s="223"/>
      <c r="B424" s="1"/>
      <c r="C424" s="1"/>
      <c r="D424" s="1"/>
      <c r="E424" s="1"/>
      <c r="F424" s="1"/>
      <c r="G424" s="1"/>
      <c r="H424" s="1"/>
      <c r="I424" s="1"/>
      <c r="J424" s="1"/>
      <c r="K424" s="1"/>
      <c r="L424" s="1"/>
      <c r="M424" s="1"/>
      <c r="N424" s="1"/>
      <c r="O424" s="1"/>
      <c r="P424" s="1"/>
      <c r="Q424" s="1"/>
      <c r="R424" s="1"/>
      <c r="S424" s="1"/>
      <c r="T424" s="1"/>
      <c r="U424" s="1"/>
      <c r="V424" s="1"/>
      <c r="W424" s="1"/>
    </row>
    <row r="425" spans="1:23">
      <c r="A425" s="223"/>
      <c r="B425" s="1"/>
      <c r="C425" s="1"/>
      <c r="D425" s="1"/>
      <c r="E425" s="1"/>
      <c r="F425" s="1"/>
      <c r="G425" s="1"/>
      <c r="H425" s="1"/>
      <c r="I425" s="1"/>
      <c r="J425" s="1"/>
      <c r="K425" s="1"/>
      <c r="L425" s="1"/>
      <c r="M425" s="1"/>
      <c r="N425" s="1"/>
      <c r="O425" s="1"/>
      <c r="P425" s="1"/>
      <c r="Q425" s="1"/>
      <c r="R425" s="1"/>
      <c r="S425" s="1"/>
      <c r="T425" s="1"/>
      <c r="U425" s="1"/>
      <c r="V425" s="1"/>
      <c r="W425" s="1"/>
    </row>
    <row r="426" spans="1:23">
      <c r="A426" s="223"/>
      <c r="B426" s="1"/>
      <c r="C426" s="1"/>
      <c r="D426" s="1"/>
      <c r="E426" s="1"/>
      <c r="F426" s="1"/>
      <c r="G426" s="1"/>
      <c r="H426" s="1"/>
      <c r="I426" s="1"/>
      <c r="J426" s="1"/>
      <c r="K426" s="1"/>
      <c r="L426" s="1"/>
      <c r="M426" s="1"/>
      <c r="N426" s="1"/>
      <c r="O426" s="1"/>
      <c r="P426" s="1"/>
      <c r="Q426" s="1"/>
      <c r="R426" s="1"/>
      <c r="S426" s="1"/>
      <c r="T426" s="1"/>
      <c r="U426" s="1"/>
      <c r="V426" s="1"/>
      <c r="W426" s="1"/>
    </row>
    <row r="427" spans="1:23">
      <c r="A427" s="223"/>
      <c r="B427" s="1"/>
      <c r="C427" s="1"/>
      <c r="D427" s="1"/>
      <c r="E427" s="1"/>
      <c r="F427" s="1"/>
      <c r="G427" s="1"/>
      <c r="H427" s="1"/>
      <c r="I427" s="1"/>
      <c r="J427" s="1"/>
      <c r="K427" s="1"/>
      <c r="L427" s="1"/>
      <c r="M427" s="1"/>
      <c r="N427" s="1"/>
      <c r="O427" s="1"/>
      <c r="P427" s="1"/>
      <c r="Q427" s="1"/>
      <c r="R427" s="1"/>
      <c r="S427" s="1"/>
      <c r="T427" s="1"/>
      <c r="U427" s="1"/>
      <c r="V427" s="1"/>
      <c r="W427" s="1"/>
    </row>
    <row r="428" spans="1:23">
      <c r="A428" s="223"/>
      <c r="B428" s="1"/>
      <c r="C428" s="1"/>
      <c r="D428" s="1"/>
      <c r="E428" s="1"/>
      <c r="F428" s="1"/>
      <c r="G428" s="1"/>
      <c r="H428" s="1"/>
      <c r="I428" s="1"/>
      <c r="J428" s="1"/>
      <c r="K428" s="1"/>
      <c r="L428" s="1"/>
      <c r="M428" s="1"/>
      <c r="N428" s="1"/>
      <c r="O428" s="1"/>
      <c r="P428" s="1"/>
      <c r="Q428" s="1"/>
      <c r="R428" s="1"/>
      <c r="S428" s="1"/>
      <c r="T428" s="1"/>
      <c r="U428" s="1"/>
      <c r="V428" s="1"/>
      <c r="W428" s="1"/>
    </row>
    <row r="429" spans="1:23">
      <c r="A429" s="223"/>
      <c r="B429" s="1"/>
      <c r="C429" s="1"/>
      <c r="D429" s="1"/>
      <c r="E429" s="1"/>
      <c r="F429" s="1"/>
      <c r="G429" s="1"/>
      <c r="H429" s="1"/>
      <c r="I429" s="1"/>
      <c r="J429" s="1"/>
      <c r="K429" s="1"/>
      <c r="L429" s="1"/>
      <c r="M429" s="1"/>
      <c r="N429" s="1"/>
      <c r="O429" s="1"/>
      <c r="P429" s="1"/>
      <c r="Q429" s="1"/>
      <c r="R429" s="1"/>
      <c r="S429" s="1"/>
      <c r="T429" s="1"/>
      <c r="U429" s="1"/>
      <c r="V429" s="1"/>
      <c r="W429" s="1"/>
    </row>
    <row r="430" spans="1:23">
      <c r="A430" s="223"/>
      <c r="B430" s="1"/>
      <c r="C430" s="1"/>
      <c r="D430" s="1"/>
      <c r="E430" s="1"/>
      <c r="F430" s="1"/>
      <c r="G430" s="1"/>
      <c r="H430" s="1"/>
      <c r="I430" s="1"/>
      <c r="J430" s="1"/>
      <c r="K430" s="1"/>
      <c r="L430" s="1"/>
      <c r="M430" s="1"/>
      <c r="N430" s="1"/>
      <c r="O430" s="1"/>
      <c r="P430" s="1"/>
      <c r="Q430" s="1"/>
      <c r="R430" s="1"/>
      <c r="S430" s="1"/>
      <c r="T430" s="1"/>
      <c r="U430" s="1"/>
      <c r="V430" s="1"/>
      <c r="W430" s="1"/>
    </row>
    <row r="431" spans="1:23">
      <c r="A431" s="223"/>
      <c r="B431" s="1"/>
      <c r="C431" s="1"/>
      <c r="D431" s="1"/>
      <c r="E431" s="1"/>
      <c r="F431" s="1"/>
      <c r="G431" s="1"/>
      <c r="H431" s="1"/>
      <c r="I431" s="1"/>
      <c r="J431" s="1"/>
      <c r="K431" s="1"/>
      <c r="L431" s="1"/>
      <c r="M431" s="1"/>
      <c r="N431" s="1"/>
      <c r="O431" s="1"/>
      <c r="P431" s="1"/>
      <c r="Q431" s="1"/>
      <c r="R431" s="1"/>
      <c r="S431" s="1"/>
      <c r="T431" s="1"/>
      <c r="U431" s="1"/>
      <c r="V431" s="1"/>
      <c r="W431" s="1"/>
    </row>
    <row r="432" spans="1:23">
      <c r="A432" s="223"/>
      <c r="B432" s="1"/>
      <c r="C432" s="1"/>
      <c r="D432" s="1"/>
      <c r="E432" s="1"/>
      <c r="F432" s="1"/>
      <c r="G432" s="1"/>
      <c r="H432" s="1"/>
      <c r="I432" s="1"/>
      <c r="J432" s="1"/>
      <c r="K432" s="1"/>
      <c r="L432" s="1"/>
      <c r="M432" s="1"/>
      <c r="N432" s="1"/>
      <c r="O432" s="1"/>
      <c r="P432" s="1"/>
      <c r="Q432" s="1"/>
      <c r="R432" s="1"/>
      <c r="S432" s="1"/>
      <c r="T432" s="1"/>
      <c r="U432" s="1"/>
      <c r="V432" s="1"/>
      <c r="W432" s="1"/>
    </row>
    <row r="433" spans="1:23">
      <c r="A433" s="223"/>
      <c r="B433" s="1"/>
      <c r="C433" s="1"/>
      <c r="D433" s="1"/>
      <c r="E433" s="1"/>
      <c r="F433" s="1"/>
      <c r="G433" s="1"/>
      <c r="H433" s="1"/>
      <c r="I433" s="1"/>
      <c r="J433" s="1"/>
      <c r="K433" s="1"/>
      <c r="L433" s="1"/>
      <c r="M433" s="1"/>
      <c r="N433" s="1"/>
      <c r="O433" s="1"/>
      <c r="P433" s="1"/>
      <c r="Q433" s="1"/>
      <c r="R433" s="1"/>
      <c r="S433" s="1"/>
      <c r="T433" s="1"/>
      <c r="U433" s="1"/>
      <c r="V433" s="1"/>
      <c r="W433" s="1"/>
    </row>
    <row r="434" spans="1:23">
      <c r="A434" s="223"/>
      <c r="B434" s="1"/>
      <c r="C434" s="1"/>
      <c r="D434" s="1"/>
      <c r="E434" s="1"/>
      <c r="F434" s="1"/>
      <c r="G434" s="1"/>
      <c r="H434" s="1"/>
      <c r="I434" s="1"/>
      <c r="J434" s="1"/>
      <c r="K434" s="1"/>
      <c r="L434" s="1"/>
      <c r="M434" s="1"/>
      <c r="N434" s="1"/>
      <c r="O434" s="1"/>
      <c r="P434" s="1"/>
      <c r="Q434" s="1"/>
      <c r="R434" s="1"/>
      <c r="S434" s="1"/>
      <c r="T434" s="1"/>
      <c r="U434" s="1"/>
      <c r="V434" s="1"/>
      <c r="W434" s="1"/>
    </row>
    <row r="435" spans="1:23">
      <c r="A435" s="223"/>
      <c r="B435" s="1"/>
      <c r="C435" s="1"/>
      <c r="D435" s="1"/>
      <c r="E435" s="1"/>
      <c r="F435" s="1"/>
      <c r="G435" s="1"/>
      <c r="H435" s="1"/>
      <c r="I435" s="1"/>
      <c r="J435" s="1"/>
      <c r="K435" s="1"/>
      <c r="L435" s="1"/>
      <c r="M435" s="1"/>
      <c r="N435" s="1"/>
      <c r="O435" s="1"/>
      <c r="P435" s="1"/>
      <c r="Q435" s="1"/>
      <c r="R435" s="1"/>
      <c r="S435" s="1"/>
      <c r="T435" s="1"/>
      <c r="U435" s="1"/>
      <c r="V435" s="1"/>
      <c r="W435" s="1"/>
    </row>
    <row r="436" spans="1:23">
      <c r="A436" s="223"/>
      <c r="B436" s="1"/>
      <c r="C436" s="1"/>
      <c r="D436" s="1"/>
      <c r="E436" s="1"/>
      <c r="F436" s="1"/>
      <c r="G436" s="1"/>
      <c r="H436" s="1"/>
      <c r="I436" s="1"/>
      <c r="J436" s="1"/>
      <c r="K436" s="1"/>
      <c r="L436" s="1"/>
      <c r="M436" s="1"/>
      <c r="N436" s="1"/>
      <c r="O436" s="1"/>
      <c r="P436" s="1"/>
      <c r="Q436" s="1"/>
      <c r="R436" s="1"/>
      <c r="S436" s="1"/>
      <c r="T436" s="1"/>
      <c r="U436" s="1"/>
      <c r="V436" s="1"/>
      <c r="W436" s="1"/>
    </row>
    <row r="437" spans="1:23">
      <c r="A437" s="223"/>
      <c r="B437" s="1"/>
      <c r="C437" s="1"/>
      <c r="D437" s="1"/>
      <c r="E437" s="1"/>
      <c r="F437" s="1"/>
      <c r="G437" s="1"/>
      <c r="H437" s="1"/>
      <c r="I437" s="1"/>
      <c r="J437" s="1"/>
      <c r="K437" s="1"/>
      <c r="L437" s="1"/>
      <c r="M437" s="1"/>
      <c r="N437" s="1"/>
      <c r="O437" s="1"/>
      <c r="P437" s="1"/>
      <c r="Q437" s="1"/>
      <c r="R437" s="1"/>
      <c r="S437" s="1"/>
      <c r="T437" s="1"/>
      <c r="U437" s="1"/>
      <c r="V437" s="1"/>
      <c r="W437" s="1"/>
    </row>
    <row r="438" spans="1:23">
      <c r="A438" s="223"/>
      <c r="B438" s="1"/>
      <c r="C438" s="1"/>
      <c r="D438" s="1"/>
      <c r="E438" s="1"/>
      <c r="F438" s="1"/>
      <c r="G438" s="1"/>
      <c r="H438" s="1"/>
      <c r="I438" s="1"/>
      <c r="J438" s="1"/>
      <c r="K438" s="1"/>
      <c r="L438" s="1"/>
      <c r="M438" s="1"/>
      <c r="N438" s="1"/>
      <c r="O438" s="1"/>
      <c r="P438" s="1"/>
      <c r="Q438" s="1"/>
      <c r="R438" s="1"/>
      <c r="S438" s="1"/>
      <c r="T438" s="1"/>
      <c r="U438" s="1"/>
      <c r="V438" s="1"/>
      <c r="W438" s="1"/>
    </row>
    <row r="439" spans="1:23">
      <c r="A439" s="223"/>
      <c r="B439" s="1"/>
      <c r="C439" s="1"/>
      <c r="D439" s="1"/>
      <c r="E439" s="1"/>
      <c r="F439" s="1"/>
      <c r="G439" s="1"/>
      <c r="H439" s="1"/>
      <c r="I439" s="1"/>
      <c r="J439" s="1"/>
      <c r="K439" s="1"/>
      <c r="L439" s="1"/>
      <c r="M439" s="1"/>
      <c r="N439" s="1"/>
      <c r="O439" s="1"/>
      <c r="P439" s="1"/>
      <c r="Q439" s="1"/>
      <c r="R439" s="1"/>
      <c r="S439" s="1"/>
      <c r="T439" s="1"/>
      <c r="U439" s="1"/>
      <c r="V439" s="1"/>
      <c r="W439" s="1"/>
    </row>
    <row r="440" spans="1:23">
      <c r="A440" s="223"/>
      <c r="B440" s="1"/>
      <c r="C440" s="1"/>
      <c r="D440" s="1"/>
      <c r="E440" s="1"/>
      <c r="F440" s="1"/>
      <c r="G440" s="1"/>
      <c r="H440" s="1"/>
      <c r="I440" s="1"/>
      <c r="J440" s="1"/>
      <c r="K440" s="1"/>
      <c r="L440" s="1"/>
      <c r="M440" s="1"/>
      <c r="N440" s="1"/>
      <c r="O440" s="1"/>
      <c r="P440" s="1"/>
      <c r="Q440" s="1"/>
      <c r="R440" s="1"/>
      <c r="S440" s="1"/>
      <c r="T440" s="1"/>
      <c r="U440" s="1"/>
      <c r="V440" s="1"/>
      <c r="W440" s="1"/>
    </row>
    <row r="441" spans="1:23">
      <c r="A441" s="223"/>
      <c r="B441" s="1"/>
      <c r="C441" s="1"/>
      <c r="D441" s="1"/>
      <c r="E441" s="1"/>
      <c r="F441" s="1"/>
      <c r="G441" s="1"/>
      <c r="H441" s="1"/>
      <c r="I441" s="1"/>
      <c r="J441" s="1"/>
      <c r="K441" s="1"/>
      <c r="L441" s="1"/>
      <c r="M441" s="1"/>
      <c r="N441" s="1"/>
      <c r="O441" s="1"/>
      <c r="P441" s="1"/>
      <c r="Q441" s="1"/>
      <c r="R441" s="1"/>
      <c r="S441" s="1"/>
      <c r="T441" s="1"/>
      <c r="U441" s="1"/>
      <c r="V441" s="1"/>
      <c r="W441" s="1"/>
    </row>
    <row r="442" spans="1:23">
      <c r="A442" s="223"/>
      <c r="B442" s="1"/>
      <c r="C442" s="1"/>
      <c r="D442" s="1"/>
      <c r="E442" s="1"/>
      <c r="F442" s="1"/>
      <c r="G442" s="1"/>
      <c r="H442" s="1"/>
      <c r="I442" s="1"/>
      <c r="J442" s="1"/>
      <c r="K442" s="1"/>
      <c r="L442" s="1"/>
      <c r="M442" s="1"/>
      <c r="N442" s="1"/>
      <c r="O442" s="1"/>
      <c r="P442" s="1"/>
      <c r="Q442" s="1"/>
      <c r="R442" s="1"/>
      <c r="S442" s="1"/>
      <c r="T442" s="1"/>
      <c r="U442" s="1"/>
      <c r="V442" s="1"/>
      <c r="W442" s="1"/>
    </row>
    <row r="443" spans="1:23">
      <c r="A443" s="223"/>
      <c r="B443" s="1"/>
      <c r="C443" s="1"/>
      <c r="D443" s="1"/>
      <c r="E443" s="1"/>
      <c r="F443" s="1"/>
      <c r="G443" s="1"/>
      <c r="H443" s="1"/>
      <c r="I443" s="1"/>
      <c r="J443" s="1"/>
      <c r="K443" s="1"/>
      <c r="L443" s="1"/>
      <c r="M443" s="1"/>
      <c r="N443" s="1"/>
      <c r="O443" s="1"/>
      <c r="P443" s="1"/>
      <c r="Q443" s="1"/>
      <c r="R443" s="1"/>
      <c r="S443" s="1"/>
      <c r="T443" s="1"/>
      <c r="U443" s="1"/>
      <c r="V443" s="1"/>
      <c r="W443" s="1"/>
    </row>
    <row r="444" spans="1:23">
      <c r="A444" s="223"/>
      <c r="B444" s="1"/>
      <c r="C444" s="1"/>
      <c r="D444" s="1"/>
      <c r="E444" s="1"/>
      <c r="F444" s="1"/>
      <c r="G444" s="1"/>
      <c r="H444" s="1"/>
      <c r="I444" s="1"/>
      <c r="J444" s="1"/>
      <c r="K444" s="1"/>
      <c r="L444" s="1"/>
      <c r="M444" s="1"/>
      <c r="N444" s="1"/>
      <c r="O444" s="1"/>
      <c r="P444" s="1"/>
      <c r="Q444" s="1"/>
      <c r="R444" s="1"/>
      <c r="S444" s="1"/>
      <c r="T444" s="1"/>
      <c r="U444" s="1"/>
      <c r="V444" s="1"/>
      <c r="W444" s="1"/>
    </row>
    <row r="445" spans="1:23">
      <c r="A445" s="223"/>
      <c r="B445" s="1"/>
      <c r="C445" s="1"/>
      <c r="D445" s="1"/>
      <c r="E445" s="1"/>
      <c r="F445" s="1"/>
      <c r="G445" s="1"/>
      <c r="H445" s="1"/>
      <c r="I445" s="1"/>
      <c r="J445" s="1"/>
      <c r="K445" s="1"/>
      <c r="L445" s="1"/>
      <c r="M445" s="1"/>
      <c r="N445" s="1"/>
      <c r="O445" s="1"/>
      <c r="P445" s="1"/>
      <c r="Q445" s="1"/>
      <c r="R445" s="1"/>
      <c r="S445" s="1"/>
      <c r="T445" s="1"/>
      <c r="U445" s="1"/>
      <c r="V445" s="1"/>
      <c r="W445" s="1"/>
    </row>
    <row r="446" spans="1:23">
      <c r="A446" s="223"/>
      <c r="B446" s="1"/>
      <c r="C446" s="1"/>
      <c r="D446" s="1"/>
      <c r="E446" s="1"/>
      <c r="F446" s="1"/>
      <c r="G446" s="1"/>
      <c r="H446" s="1"/>
      <c r="I446" s="1"/>
      <c r="J446" s="1"/>
      <c r="K446" s="1"/>
      <c r="L446" s="1"/>
      <c r="M446" s="1"/>
      <c r="N446" s="1"/>
      <c r="O446" s="1"/>
      <c r="P446" s="1"/>
      <c r="Q446" s="1"/>
      <c r="R446" s="1"/>
      <c r="S446" s="1"/>
      <c r="T446" s="1"/>
      <c r="U446" s="1"/>
      <c r="V446" s="1"/>
      <c r="W446" s="1"/>
    </row>
    <row r="447" spans="1:23">
      <c r="A447" s="223"/>
      <c r="B447" s="1"/>
      <c r="C447" s="1"/>
      <c r="D447" s="1"/>
      <c r="E447" s="1"/>
      <c r="F447" s="1"/>
      <c r="G447" s="1"/>
      <c r="H447" s="1"/>
      <c r="I447" s="1"/>
      <c r="J447" s="1"/>
      <c r="K447" s="1"/>
      <c r="L447" s="1"/>
      <c r="M447" s="1"/>
      <c r="N447" s="1"/>
      <c r="O447" s="1"/>
      <c r="P447" s="1"/>
      <c r="Q447" s="1"/>
      <c r="R447" s="1"/>
      <c r="S447" s="1"/>
      <c r="T447" s="1"/>
      <c r="U447" s="1"/>
      <c r="V447" s="1"/>
      <c r="W447" s="1"/>
    </row>
    <row r="448" spans="1:23">
      <c r="A448" s="223"/>
      <c r="B448" s="1"/>
      <c r="C448" s="1"/>
      <c r="D448" s="1"/>
      <c r="E448" s="1"/>
      <c r="F448" s="1"/>
      <c r="G448" s="1"/>
      <c r="H448" s="1"/>
      <c r="I448" s="1"/>
      <c r="J448" s="1"/>
      <c r="K448" s="1"/>
      <c r="L448" s="1"/>
      <c r="M448" s="1"/>
      <c r="N448" s="1"/>
      <c r="O448" s="1"/>
      <c r="P448" s="1"/>
      <c r="Q448" s="1"/>
      <c r="R448" s="1"/>
      <c r="S448" s="1"/>
      <c r="T448" s="1"/>
      <c r="U448" s="1"/>
      <c r="V448" s="1"/>
      <c r="W448" s="1"/>
    </row>
    <row r="449" spans="1:23">
      <c r="A449" s="223"/>
      <c r="B449" s="1"/>
      <c r="C449" s="1"/>
      <c r="D449" s="1"/>
      <c r="E449" s="1"/>
      <c r="F449" s="1"/>
      <c r="G449" s="1"/>
      <c r="H449" s="1"/>
      <c r="I449" s="1"/>
      <c r="J449" s="1"/>
      <c r="K449" s="1"/>
      <c r="L449" s="1"/>
      <c r="M449" s="1"/>
      <c r="N449" s="1"/>
      <c r="O449" s="1"/>
      <c r="P449" s="1"/>
      <c r="Q449" s="1"/>
      <c r="R449" s="1"/>
      <c r="S449" s="1"/>
      <c r="T449" s="1"/>
      <c r="U449" s="1"/>
      <c r="V449" s="1"/>
      <c r="W449" s="1"/>
    </row>
    <row r="450" spans="1:23">
      <c r="A450" s="223"/>
      <c r="B450" s="1"/>
      <c r="C450" s="1"/>
      <c r="D450" s="1"/>
      <c r="E450" s="1"/>
      <c r="F450" s="1"/>
      <c r="G450" s="1"/>
      <c r="H450" s="1"/>
      <c r="I450" s="1"/>
      <c r="J450" s="1"/>
      <c r="K450" s="1"/>
      <c r="L450" s="1"/>
      <c r="M450" s="1"/>
      <c r="N450" s="1"/>
      <c r="O450" s="1"/>
      <c r="P450" s="1"/>
      <c r="Q450" s="1"/>
      <c r="R450" s="1"/>
      <c r="S450" s="1"/>
      <c r="T450" s="1"/>
      <c r="U450" s="1"/>
      <c r="V450" s="1"/>
      <c r="W450" s="1"/>
    </row>
    <row r="451" spans="1:23">
      <c r="A451" s="223"/>
      <c r="B451" s="1"/>
      <c r="C451" s="1"/>
      <c r="D451" s="1"/>
      <c r="E451" s="1"/>
      <c r="F451" s="1"/>
      <c r="G451" s="1"/>
      <c r="H451" s="1"/>
      <c r="I451" s="1"/>
      <c r="J451" s="1"/>
      <c r="K451" s="1"/>
      <c r="L451" s="1"/>
      <c r="M451" s="1"/>
      <c r="N451" s="1"/>
      <c r="O451" s="1"/>
      <c r="P451" s="1"/>
      <c r="Q451" s="1"/>
      <c r="R451" s="1"/>
      <c r="S451" s="1"/>
      <c r="T451" s="1"/>
      <c r="U451" s="1"/>
      <c r="V451" s="1"/>
      <c r="W451" s="1"/>
    </row>
    <row r="452" spans="1:23">
      <c r="A452" s="223"/>
      <c r="B452" s="1"/>
      <c r="C452" s="1"/>
      <c r="D452" s="1"/>
      <c r="E452" s="1"/>
      <c r="F452" s="1"/>
      <c r="G452" s="1"/>
      <c r="H452" s="1"/>
      <c r="I452" s="1"/>
      <c r="J452" s="1"/>
      <c r="K452" s="1"/>
      <c r="L452" s="1"/>
      <c r="M452" s="1"/>
      <c r="N452" s="1"/>
      <c r="O452" s="1"/>
      <c r="P452" s="1"/>
      <c r="Q452" s="1"/>
      <c r="R452" s="1"/>
      <c r="S452" s="1"/>
      <c r="T452" s="1"/>
      <c r="U452" s="1"/>
      <c r="V452" s="1"/>
      <c r="W452" s="1"/>
    </row>
    <row r="453" spans="1:23">
      <c r="A453" s="223"/>
      <c r="B453" s="1"/>
      <c r="C453" s="1"/>
      <c r="D453" s="1"/>
      <c r="E453" s="1"/>
      <c r="F453" s="1"/>
      <c r="G453" s="1"/>
      <c r="H453" s="1"/>
      <c r="I453" s="1"/>
      <c r="J453" s="1"/>
      <c r="K453" s="1"/>
      <c r="L453" s="1"/>
      <c r="M453" s="1"/>
      <c r="N453" s="1"/>
      <c r="O453" s="1"/>
      <c r="P453" s="1"/>
      <c r="Q453" s="1"/>
      <c r="R453" s="1"/>
      <c r="S453" s="1"/>
      <c r="T453" s="1"/>
      <c r="U453" s="1"/>
      <c r="V453" s="1"/>
      <c r="W453" s="1"/>
    </row>
    <row r="454" spans="1:23">
      <c r="A454" s="223"/>
      <c r="B454" s="1"/>
      <c r="C454" s="1"/>
      <c r="D454" s="1"/>
      <c r="E454" s="1"/>
      <c r="F454" s="1"/>
      <c r="G454" s="1"/>
      <c r="H454" s="1"/>
      <c r="I454" s="1"/>
      <c r="J454" s="1"/>
      <c r="K454" s="1"/>
      <c r="L454" s="1"/>
      <c r="M454" s="1"/>
      <c r="N454" s="1"/>
      <c r="O454" s="1"/>
      <c r="P454" s="1"/>
      <c r="Q454" s="1"/>
      <c r="R454" s="1"/>
      <c r="S454" s="1"/>
      <c r="T454" s="1"/>
      <c r="U454" s="1"/>
      <c r="V454" s="1"/>
      <c r="W454" s="1"/>
    </row>
    <row r="455" spans="1:23">
      <c r="A455" s="223"/>
      <c r="B455" s="1"/>
      <c r="C455" s="1"/>
      <c r="D455" s="1"/>
      <c r="E455" s="1"/>
      <c r="F455" s="1"/>
      <c r="G455" s="1"/>
      <c r="H455" s="1"/>
      <c r="I455" s="1"/>
      <c r="J455" s="1"/>
      <c r="K455" s="1"/>
      <c r="L455" s="1"/>
      <c r="M455" s="1"/>
      <c r="N455" s="1"/>
      <c r="O455" s="1"/>
      <c r="P455" s="1"/>
      <c r="Q455" s="1"/>
      <c r="R455" s="1"/>
      <c r="S455" s="1"/>
      <c r="T455" s="1"/>
      <c r="U455" s="1"/>
      <c r="V455" s="1"/>
      <c r="W455" s="1"/>
    </row>
    <row r="456" spans="1:23">
      <c r="A456" s="223"/>
      <c r="B456" s="1"/>
      <c r="C456" s="1"/>
      <c r="D456" s="1"/>
      <c r="E456" s="1"/>
      <c r="F456" s="1"/>
      <c r="G456" s="1"/>
      <c r="H456" s="1"/>
      <c r="I456" s="1"/>
      <c r="J456" s="1"/>
      <c r="K456" s="1"/>
      <c r="L456" s="1"/>
      <c r="M456" s="1"/>
      <c r="N456" s="1"/>
      <c r="O456" s="1"/>
      <c r="P456" s="1"/>
      <c r="Q456" s="1"/>
      <c r="R456" s="1"/>
      <c r="S456" s="1"/>
      <c r="T456" s="1"/>
      <c r="U456" s="1"/>
      <c r="V456" s="1"/>
      <c r="W456" s="1"/>
    </row>
    <row r="457" spans="1:23">
      <c r="A457" s="223"/>
      <c r="B457" s="1"/>
      <c r="C457" s="1"/>
      <c r="D457" s="1"/>
      <c r="E457" s="1"/>
      <c r="F457" s="1"/>
      <c r="G457" s="1"/>
      <c r="H457" s="1"/>
      <c r="I457" s="1"/>
      <c r="J457" s="1"/>
      <c r="K457" s="1"/>
      <c r="L457" s="1"/>
      <c r="M457" s="1"/>
      <c r="N457" s="1"/>
      <c r="O457" s="1"/>
      <c r="P457" s="1"/>
      <c r="Q457" s="1"/>
      <c r="R457" s="1"/>
      <c r="S457" s="1"/>
      <c r="T457" s="1"/>
      <c r="U457" s="1"/>
      <c r="V457" s="1"/>
      <c r="W457" s="1"/>
    </row>
    <row r="458" spans="1:23">
      <c r="A458" s="223"/>
      <c r="B458" s="1"/>
      <c r="C458" s="1"/>
      <c r="D458" s="1"/>
      <c r="E458" s="1"/>
      <c r="F458" s="1"/>
      <c r="G458" s="1"/>
      <c r="H458" s="1"/>
      <c r="I458" s="1"/>
      <c r="J458" s="1"/>
      <c r="K458" s="1"/>
      <c r="L458" s="1"/>
      <c r="M458" s="1"/>
      <c r="N458" s="1"/>
      <c r="O458" s="1"/>
      <c r="P458" s="1"/>
      <c r="Q458" s="1"/>
      <c r="R458" s="1"/>
      <c r="S458" s="1"/>
      <c r="T458" s="1"/>
      <c r="U458" s="1"/>
      <c r="V458" s="1"/>
      <c r="W458" s="1"/>
    </row>
    <row r="459" spans="1:23">
      <c r="A459" s="223"/>
      <c r="B459" s="1"/>
      <c r="C459" s="1"/>
      <c r="D459" s="1"/>
      <c r="E459" s="1"/>
      <c r="F459" s="1"/>
      <c r="G459" s="1"/>
      <c r="H459" s="1"/>
      <c r="I459" s="1"/>
      <c r="J459" s="1"/>
      <c r="K459" s="1"/>
      <c r="L459" s="1"/>
      <c r="M459" s="1"/>
      <c r="N459" s="1"/>
      <c r="O459" s="1"/>
      <c r="P459" s="1"/>
      <c r="Q459" s="1"/>
      <c r="R459" s="1"/>
      <c r="S459" s="1"/>
      <c r="T459" s="1"/>
      <c r="U459" s="1"/>
      <c r="V459" s="1"/>
      <c r="W459" s="1"/>
    </row>
    <row r="460" spans="1:23">
      <c r="A460" s="223"/>
      <c r="B460" s="1"/>
      <c r="C460" s="1"/>
      <c r="D460" s="1"/>
      <c r="E460" s="1"/>
      <c r="F460" s="1"/>
      <c r="G460" s="1"/>
      <c r="H460" s="1"/>
      <c r="I460" s="1"/>
      <c r="J460" s="1"/>
      <c r="K460" s="1"/>
      <c r="L460" s="1"/>
      <c r="M460" s="1"/>
      <c r="N460" s="1"/>
      <c r="O460" s="1"/>
      <c r="P460" s="1"/>
      <c r="Q460" s="1"/>
      <c r="R460" s="1"/>
      <c r="S460" s="1"/>
      <c r="T460" s="1"/>
      <c r="U460" s="1"/>
      <c r="V460" s="1"/>
      <c r="W460" s="1"/>
    </row>
    <row r="461" spans="1:23">
      <c r="A461" s="223"/>
      <c r="B461" s="1"/>
      <c r="C461" s="1"/>
      <c r="D461" s="1"/>
      <c r="E461" s="1"/>
      <c r="F461" s="1"/>
      <c r="G461" s="1"/>
      <c r="H461" s="1"/>
      <c r="I461" s="1"/>
      <c r="J461" s="1"/>
      <c r="K461" s="1"/>
      <c r="L461" s="1"/>
      <c r="M461" s="1"/>
      <c r="N461" s="1"/>
      <c r="O461" s="1"/>
      <c r="P461" s="1"/>
      <c r="Q461" s="1"/>
      <c r="R461" s="1"/>
      <c r="S461" s="1"/>
      <c r="T461" s="1"/>
      <c r="U461" s="1"/>
      <c r="V461" s="1"/>
      <c r="W461" s="1"/>
    </row>
    <row r="462" spans="1:23">
      <c r="A462" s="223"/>
      <c r="B462" s="1"/>
      <c r="C462" s="1"/>
      <c r="D462" s="1"/>
      <c r="E462" s="1"/>
      <c r="F462" s="1"/>
      <c r="G462" s="1"/>
      <c r="H462" s="1"/>
      <c r="I462" s="1"/>
      <c r="J462" s="1"/>
      <c r="K462" s="1"/>
      <c r="L462" s="1"/>
      <c r="M462" s="1"/>
      <c r="N462" s="1"/>
      <c r="O462" s="1"/>
      <c r="P462" s="1"/>
      <c r="Q462" s="1"/>
      <c r="R462" s="1"/>
      <c r="S462" s="1"/>
      <c r="T462" s="1"/>
      <c r="U462" s="1"/>
      <c r="V462" s="1"/>
      <c r="W462" s="1"/>
    </row>
    <row r="463" spans="1:23">
      <c r="A463" s="223"/>
      <c r="B463" s="1"/>
      <c r="C463" s="1"/>
      <c r="D463" s="1"/>
      <c r="E463" s="1"/>
      <c r="F463" s="1"/>
      <c r="G463" s="1"/>
      <c r="H463" s="1"/>
      <c r="I463" s="1"/>
      <c r="J463" s="1"/>
      <c r="K463" s="1"/>
      <c r="L463" s="1"/>
      <c r="M463" s="1"/>
      <c r="N463" s="1"/>
      <c r="O463" s="1"/>
      <c r="P463" s="1"/>
      <c r="Q463" s="1"/>
      <c r="R463" s="1"/>
      <c r="S463" s="1"/>
      <c r="T463" s="1"/>
      <c r="U463" s="1"/>
      <c r="V463" s="1"/>
      <c r="W463" s="1"/>
    </row>
    <row r="464" spans="1:23">
      <c r="A464" s="223"/>
      <c r="B464" s="1"/>
      <c r="C464" s="1"/>
      <c r="D464" s="1"/>
      <c r="E464" s="1"/>
      <c r="F464" s="1"/>
      <c r="G464" s="1"/>
      <c r="H464" s="1"/>
      <c r="I464" s="1"/>
      <c r="J464" s="1"/>
      <c r="K464" s="1"/>
      <c r="L464" s="1"/>
      <c r="M464" s="1"/>
      <c r="N464" s="1"/>
      <c r="O464" s="1"/>
      <c r="P464" s="1"/>
      <c r="Q464" s="1"/>
      <c r="R464" s="1"/>
      <c r="S464" s="1"/>
      <c r="T464" s="1"/>
      <c r="U464" s="1"/>
      <c r="V464" s="1"/>
      <c r="W464" s="1"/>
    </row>
    <row r="465" spans="1:23">
      <c r="A465" s="223"/>
      <c r="B465" s="1"/>
      <c r="C465" s="1"/>
      <c r="D465" s="1"/>
      <c r="E465" s="1"/>
      <c r="F465" s="1"/>
      <c r="G465" s="1"/>
      <c r="H465" s="1"/>
      <c r="I465" s="1"/>
      <c r="J465" s="1"/>
      <c r="K465" s="1"/>
      <c r="L465" s="1"/>
      <c r="M465" s="1"/>
      <c r="N465" s="1"/>
      <c r="O465" s="1"/>
      <c r="P465" s="1"/>
      <c r="Q465" s="1"/>
      <c r="R465" s="1"/>
      <c r="S465" s="1"/>
      <c r="T465" s="1"/>
      <c r="U465" s="1"/>
      <c r="V465" s="1"/>
      <c r="W465" s="1"/>
    </row>
    <row r="466" spans="1:23">
      <c r="A466" s="223"/>
      <c r="B466" s="1"/>
      <c r="C466" s="1"/>
      <c r="D466" s="1"/>
      <c r="E466" s="1"/>
      <c r="F466" s="1"/>
      <c r="G466" s="1"/>
      <c r="H466" s="1"/>
      <c r="I466" s="1"/>
      <c r="J466" s="1"/>
      <c r="K466" s="1"/>
      <c r="L466" s="1"/>
      <c r="M466" s="1"/>
      <c r="N466" s="1"/>
      <c r="O466" s="1"/>
      <c r="P466" s="1"/>
      <c r="Q466" s="1"/>
      <c r="R466" s="1"/>
      <c r="S466" s="1"/>
      <c r="T466" s="1"/>
      <c r="U466" s="1"/>
      <c r="V466" s="1"/>
      <c r="W466" s="1"/>
    </row>
    <row r="467" spans="1:23">
      <c r="A467" s="223"/>
      <c r="B467" s="1"/>
      <c r="C467" s="1"/>
      <c r="D467" s="1"/>
      <c r="E467" s="1"/>
      <c r="F467" s="1"/>
      <c r="G467" s="1"/>
      <c r="H467" s="1"/>
      <c r="I467" s="1"/>
      <c r="J467" s="1"/>
      <c r="K467" s="1"/>
      <c r="L467" s="1"/>
      <c r="M467" s="1"/>
      <c r="N467" s="1"/>
      <c r="O467" s="1"/>
      <c r="P467" s="1"/>
      <c r="Q467" s="1"/>
      <c r="R467" s="1"/>
      <c r="S467" s="1"/>
      <c r="T467" s="1"/>
      <c r="U467" s="1"/>
      <c r="V467" s="1"/>
      <c r="W467" s="1"/>
    </row>
    <row r="468" spans="1:23">
      <c r="A468" s="223"/>
      <c r="B468" s="1"/>
      <c r="C468" s="1"/>
      <c r="D468" s="1"/>
      <c r="E468" s="1"/>
      <c r="F468" s="1"/>
      <c r="G468" s="1"/>
      <c r="H468" s="1"/>
      <c r="I468" s="1"/>
      <c r="J468" s="1"/>
      <c r="K468" s="1"/>
      <c r="L468" s="1"/>
      <c r="M468" s="1"/>
      <c r="N468" s="1"/>
      <c r="O468" s="1"/>
      <c r="P468" s="1"/>
      <c r="Q468" s="1"/>
      <c r="R468" s="1"/>
      <c r="S468" s="1"/>
      <c r="T468" s="1"/>
      <c r="U468" s="1"/>
      <c r="V468" s="1"/>
      <c r="W468" s="1"/>
    </row>
    <row r="469" spans="1:23">
      <c r="A469" s="223"/>
      <c r="B469" s="1"/>
      <c r="C469" s="1"/>
      <c r="D469" s="1"/>
      <c r="E469" s="1"/>
      <c r="F469" s="1"/>
      <c r="G469" s="1"/>
      <c r="H469" s="1"/>
      <c r="I469" s="1"/>
      <c r="J469" s="1"/>
      <c r="K469" s="1"/>
      <c r="L469" s="1"/>
      <c r="M469" s="1"/>
      <c r="N469" s="1"/>
      <c r="O469" s="1"/>
      <c r="P469" s="1"/>
      <c r="Q469" s="1"/>
      <c r="R469" s="1"/>
      <c r="S469" s="1"/>
      <c r="T469" s="1"/>
      <c r="U469" s="1"/>
      <c r="V469" s="1"/>
      <c r="W469" s="1"/>
    </row>
    <row r="470" spans="1:23">
      <c r="A470" s="223"/>
      <c r="B470" s="1"/>
      <c r="C470" s="1"/>
      <c r="D470" s="1"/>
      <c r="E470" s="1"/>
      <c r="F470" s="1"/>
      <c r="G470" s="1"/>
      <c r="H470" s="1"/>
      <c r="I470" s="1"/>
      <c r="J470" s="1"/>
      <c r="K470" s="1"/>
      <c r="L470" s="1"/>
      <c r="M470" s="1"/>
      <c r="N470" s="1"/>
      <c r="O470" s="1"/>
      <c r="P470" s="1"/>
      <c r="Q470" s="1"/>
      <c r="R470" s="1"/>
      <c r="S470" s="1"/>
      <c r="T470" s="1"/>
      <c r="U470" s="1"/>
      <c r="V470" s="1"/>
      <c r="W470" s="1"/>
    </row>
    <row r="471" spans="1:23">
      <c r="A471" s="223"/>
      <c r="B471" s="1"/>
      <c r="C471" s="1"/>
      <c r="D471" s="1"/>
      <c r="E471" s="1"/>
      <c r="F471" s="1"/>
      <c r="G471" s="1"/>
      <c r="H471" s="1"/>
      <c r="I471" s="1"/>
      <c r="J471" s="1"/>
      <c r="K471" s="1"/>
      <c r="L471" s="1"/>
      <c r="M471" s="1"/>
      <c r="N471" s="1"/>
      <c r="O471" s="1"/>
      <c r="P471" s="1"/>
      <c r="Q471" s="1"/>
      <c r="R471" s="1"/>
      <c r="S471" s="1"/>
      <c r="T471" s="1"/>
      <c r="U471" s="1"/>
      <c r="V471" s="1"/>
      <c r="W471" s="1"/>
    </row>
    <row r="472" spans="1:23">
      <c r="A472" s="223"/>
      <c r="B472" s="1"/>
      <c r="C472" s="1"/>
      <c r="D472" s="1"/>
      <c r="E472" s="1"/>
      <c r="F472" s="1"/>
      <c r="G472" s="1"/>
      <c r="H472" s="1"/>
      <c r="I472" s="1"/>
      <c r="J472" s="1"/>
      <c r="K472" s="1"/>
      <c r="L472" s="1"/>
      <c r="M472" s="1"/>
      <c r="N472" s="1"/>
      <c r="O472" s="1"/>
      <c r="P472" s="1"/>
      <c r="Q472" s="1"/>
      <c r="R472" s="1"/>
      <c r="S472" s="1"/>
      <c r="T472" s="1"/>
      <c r="U472" s="1"/>
      <c r="V472" s="1"/>
      <c r="W472" s="1"/>
    </row>
    <row r="473" spans="1:23">
      <c r="A473" s="223"/>
      <c r="B473" s="1"/>
      <c r="C473" s="1"/>
      <c r="D473" s="1"/>
      <c r="E473" s="1"/>
      <c r="F473" s="1"/>
      <c r="G473" s="1"/>
      <c r="H473" s="1"/>
      <c r="I473" s="1"/>
      <c r="J473" s="1"/>
      <c r="K473" s="1"/>
      <c r="L473" s="1"/>
      <c r="M473" s="1"/>
      <c r="N473" s="1"/>
      <c r="O473" s="1"/>
      <c r="P473" s="1"/>
      <c r="Q473" s="1"/>
      <c r="R473" s="1"/>
      <c r="S473" s="1"/>
      <c r="T473" s="1"/>
      <c r="U473" s="1"/>
      <c r="V473" s="1"/>
      <c r="W473" s="1"/>
    </row>
    <row r="474" spans="1:23">
      <c r="A474" s="223"/>
      <c r="B474" s="1"/>
      <c r="C474" s="1"/>
      <c r="D474" s="1"/>
      <c r="E474" s="1"/>
      <c r="F474" s="1"/>
      <c r="G474" s="1"/>
      <c r="H474" s="1"/>
      <c r="I474" s="1"/>
      <c r="J474" s="1"/>
      <c r="K474" s="1"/>
      <c r="L474" s="1"/>
      <c r="M474" s="1"/>
      <c r="N474" s="1"/>
      <c r="O474" s="1"/>
      <c r="P474" s="1"/>
      <c r="Q474" s="1"/>
      <c r="R474" s="1"/>
      <c r="S474" s="1"/>
      <c r="T474" s="1"/>
      <c r="U474" s="1"/>
      <c r="V474" s="1"/>
      <c r="W474" s="1"/>
    </row>
    <row r="475" spans="1:23">
      <c r="A475" s="223"/>
      <c r="B475" s="1"/>
      <c r="C475" s="1"/>
      <c r="D475" s="1"/>
      <c r="E475" s="1"/>
      <c r="F475" s="1"/>
      <c r="G475" s="1"/>
      <c r="H475" s="1"/>
      <c r="I475" s="1"/>
      <c r="J475" s="1"/>
      <c r="K475" s="1"/>
      <c r="L475" s="1"/>
      <c r="M475" s="1"/>
      <c r="N475" s="1"/>
      <c r="O475" s="1"/>
      <c r="P475" s="1"/>
      <c r="Q475" s="1"/>
      <c r="R475" s="1"/>
      <c r="S475" s="1"/>
      <c r="T475" s="1"/>
      <c r="U475" s="1"/>
      <c r="V475" s="1"/>
      <c r="W475" s="1"/>
    </row>
    <row r="476" spans="1:23">
      <c r="A476" s="223"/>
      <c r="B476" s="1"/>
      <c r="C476" s="1"/>
      <c r="D476" s="1"/>
      <c r="E476" s="1"/>
      <c r="F476" s="1"/>
      <c r="G476" s="1"/>
      <c r="H476" s="1"/>
      <c r="I476" s="1"/>
      <c r="J476" s="1"/>
      <c r="K476" s="1"/>
      <c r="L476" s="1"/>
      <c r="M476" s="1"/>
      <c r="N476" s="1"/>
      <c r="O476" s="1"/>
      <c r="P476" s="1"/>
      <c r="Q476" s="1"/>
      <c r="R476" s="1"/>
      <c r="S476" s="1"/>
      <c r="T476" s="1"/>
      <c r="U476" s="1"/>
      <c r="V476" s="1"/>
      <c r="W476" s="1"/>
    </row>
    <row r="477" spans="1:23">
      <c r="A477" s="223"/>
      <c r="B477" s="1"/>
      <c r="C477" s="1"/>
      <c r="D477" s="1"/>
      <c r="E477" s="1"/>
      <c r="F477" s="1"/>
      <c r="G477" s="1"/>
      <c r="H477" s="1"/>
      <c r="I477" s="1"/>
      <c r="J477" s="1"/>
      <c r="K477" s="1"/>
      <c r="L477" s="1"/>
      <c r="M477" s="1"/>
      <c r="N477" s="1"/>
      <c r="O477" s="1"/>
      <c r="P477" s="1"/>
      <c r="Q477" s="1"/>
      <c r="R477" s="1"/>
      <c r="S477" s="1"/>
      <c r="T477" s="1"/>
      <c r="U477" s="1"/>
      <c r="V477" s="1"/>
      <c r="W477" s="1"/>
    </row>
    <row r="478" spans="1:23">
      <c r="A478" s="223"/>
      <c r="B478" s="1"/>
      <c r="C478" s="1"/>
      <c r="D478" s="1"/>
      <c r="E478" s="1"/>
      <c r="F478" s="1"/>
      <c r="G478" s="1"/>
      <c r="H478" s="1"/>
      <c r="I478" s="1"/>
      <c r="J478" s="1"/>
      <c r="K478" s="1"/>
      <c r="L478" s="1"/>
      <c r="M478" s="1"/>
      <c r="N478" s="1"/>
      <c r="O478" s="1"/>
      <c r="P478" s="1"/>
      <c r="Q478" s="1"/>
      <c r="R478" s="1"/>
      <c r="S478" s="1"/>
      <c r="T478" s="1"/>
      <c r="U478" s="1"/>
      <c r="V478" s="1"/>
      <c r="W478" s="1"/>
    </row>
    <row r="479" spans="1:23">
      <c r="A479" s="223"/>
      <c r="B479" s="1"/>
      <c r="C479" s="1"/>
      <c r="D479" s="1"/>
      <c r="E479" s="1"/>
      <c r="F479" s="1"/>
      <c r="G479" s="1"/>
      <c r="H479" s="1"/>
      <c r="I479" s="1"/>
      <c r="J479" s="1"/>
      <c r="K479" s="1"/>
      <c r="L479" s="1"/>
      <c r="M479" s="1"/>
      <c r="N479" s="1"/>
      <c r="O479" s="1"/>
      <c r="P479" s="1"/>
      <c r="Q479" s="1"/>
      <c r="R479" s="1"/>
      <c r="S479" s="1"/>
      <c r="T479" s="1"/>
      <c r="U479" s="1"/>
      <c r="V479" s="1"/>
      <c r="W479" s="1"/>
    </row>
    <row r="480" spans="1:23">
      <c r="A480" s="223"/>
      <c r="B480" s="1"/>
      <c r="C480" s="1"/>
      <c r="D480" s="1"/>
      <c r="E480" s="1"/>
      <c r="F480" s="1"/>
      <c r="G480" s="1"/>
      <c r="H480" s="1"/>
      <c r="I480" s="1"/>
      <c r="J480" s="1"/>
      <c r="K480" s="1"/>
      <c r="L480" s="1"/>
      <c r="M480" s="1"/>
      <c r="N480" s="1"/>
      <c r="O480" s="1"/>
      <c r="P480" s="1"/>
      <c r="Q480" s="1"/>
      <c r="R480" s="1"/>
      <c r="S480" s="1"/>
      <c r="T480" s="1"/>
      <c r="U480" s="1"/>
      <c r="V480" s="1"/>
      <c r="W480" s="1"/>
    </row>
    <row r="481" spans="1:23">
      <c r="A481" s="223"/>
      <c r="B481" s="1"/>
      <c r="C481" s="1"/>
      <c r="D481" s="1"/>
      <c r="E481" s="1"/>
      <c r="F481" s="1"/>
      <c r="G481" s="1"/>
      <c r="H481" s="1"/>
      <c r="I481" s="1"/>
      <c r="J481" s="1"/>
      <c r="K481" s="1"/>
      <c r="L481" s="1"/>
      <c r="M481" s="1"/>
      <c r="N481" s="1"/>
      <c r="O481" s="1"/>
      <c r="P481" s="1"/>
      <c r="Q481" s="1"/>
      <c r="R481" s="1"/>
      <c r="S481" s="1"/>
      <c r="T481" s="1"/>
      <c r="U481" s="1"/>
      <c r="V481" s="1"/>
      <c r="W481" s="1"/>
    </row>
    <row r="482" spans="1:23">
      <c r="A482" s="223"/>
      <c r="B482" s="1"/>
      <c r="C482" s="1"/>
      <c r="D482" s="1"/>
      <c r="E482" s="1"/>
      <c r="F482" s="1"/>
      <c r="G482" s="1"/>
      <c r="H482" s="1"/>
      <c r="I482" s="1"/>
      <c r="J482" s="1"/>
      <c r="K482" s="1"/>
      <c r="L482" s="1"/>
      <c r="M482" s="1"/>
      <c r="N482" s="1"/>
      <c r="O482" s="1"/>
      <c r="P482" s="1"/>
      <c r="Q482" s="1"/>
      <c r="R482" s="1"/>
      <c r="S482" s="1"/>
      <c r="T482" s="1"/>
      <c r="U482" s="1"/>
      <c r="V482" s="1"/>
      <c r="W482" s="1"/>
    </row>
    <row r="483" spans="1:23">
      <c r="A483" s="223"/>
      <c r="B483" s="1"/>
      <c r="C483" s="1"/>
      <c r="D483" s="1"/>
      <c r="E483" s="1"/>
      <c r="F483" s="1"/>
      <c r="G483" s="1"/>
      <c r="H483" s="1"/>
      <c r="I483" s="1"/>
      <c r="J483" s="1"/>
      <c r="K483" s="1"/>
      <c r="L483" s="1"/>
      <c r="M483" s="1"/>
      <c r="N483" s="1"/>
      <c r="O483" s="1"/>
      <c r="P483" s="1"/>
      <c r="Q483" s="1"/>
      <c r="R483" s="1"/>
      <c r="S483" s="1"/>
      <c r="T483" s="1"/>
      <c r="U483" s="1"/>
      <c r="V483" s="1"/>
      <c r="W483" s="1"/>
    </row>
    <row r="484" spans="1:23">
      <c r="A484" s="223"/>
      <c r="B484" s="1"/>
      <c r="C484" s="1"/>
      <c r="D484" s="1"/>
      <c r="E484" s="1"/>
      <c r="F484" s="1"/>
      <c r="G484" s="1"/>
      <c r="H484" s="1"/>
      <c r="I484" s="1"/>
      <c r="J484" s="1"/>
      <c r="K484" s="1"/>
      <c r="L484" s="1"/>
      <c r="M484" s="1"/>
      <c r="N484" s="1"/>
      <c r="O484" s="1"/>
      <c r="P484" s="1"/>
      <c r="Q484" s="1"/>
      <c r="R484" s="1"/>
      <c r="S484" s="1"/>
      <c r="T484" s="1"/>
      <c r="U484" s="1"/>
      <c r="V484" s="1"/>
      <c r="W484" s="1"/>
    </row>
    <row r="485" spans="1:23">
      <c r="A485" s="223"/>
      <c r="B485" s="1"/>
      <c r="C485" s="1"/>
      <c r="D485" s="1"/>
      <c r="E485" s="1"/>
      <c r="F485" s="1"/>
      <c r="G485" s="1"/>
      <c r="H485" s="1"/>
      <c r="I485" s="1"/>
      <c r="J485" s="1"/>
      <c r="K485" s="1"/>
      <c r="L485" s="1"/>
      <c r="M485" s="1"/>
      <c r="N485" s="1"/>
      <c r="O485" s="1"/>
      <c r="P485" s="1"/>
      <c r="Q485" s="1"/>
      <c r="R485" s="1"/>
      <c r="S485" s="1"/>
      <c r="T485" s="1"/>
      <c r="U485" s="1"/>
      <c r="V485" s="1"/>
      <c r="W485" s="1"/>
    </row>
    <row r="486" spans="1:23">
      <c r="A486" s="223"/>
      <c r="B486" s="1"/>
      <c r="C486" s="1"/>
      <c r="D486" s="1"/>
      <c r="E486" s="1"/>
      <c r="F486" s="1"/>
      <c r="G486" s="1"/>
      <c r="H486" s="1"/>
      <c r="I486" s="1"/>
      <c r="J486" s="1"/>
      <c r="K486" s="1"/>
      <c r="L486" s="1"/>
      <c r="M486" s="1"/>
      <c r="N486" s="1"/>
      <c r="O486" s="1"/>
      <c r="P486" s="1"/>
      <c r="Q486" s="1"/>
      <c r="R486" s="1"/>
      <c r="S486" s="1"/>
      <c r="T486" s="1"/>
      <c r="U486" s="1"/>
      <c r="V486" s="1"/>
      <c r="W486" s="1"/>
    </row>
    <row r="487" spans="1:23">
      <c r="A487" s="223"/>
      <c r="B487" s="1"/>
      <c r="C487" s="1"/>
      <c r="D487" s="1"/>
      <c r="E487" s="1"/>
      <c r="F487" s="1"/>
      <c r="G487" s="1"/>
      <c r="H487" s="1"/>
      <c r="I487" s="1"/>
      <c r="J487" s="1"/>
      <c r="K487" s="1"/>
      <c r="L487" s="1"/>
      <c r="M487" s="1"/>
      <c r="N487" s="1"/>
      <c r="O487" s="1"/>
      <c r="P487" s="1"/>
      <c r="Q487" s="1"/>
      <c r="R487" s="1"/>
      <c r="S487" s="1"/>
      <c r="T487" s="1"/>
      <c r="U487" s="1"/>
      <c r="V487" s="1"/>
      <c r="W487" s="1"/>
    </row>
    <row r="488" spans="1:23">
      <c r="A488" s="223"/>
      <c r="B488" s="1"/>
      <c r="C488" s="1"/>
      <c r="D488" s="1"/>
      <c r="E488" s="1"/>
      <c r="F488" s="1"/>
      <c r="G488" s="1"/>
      <c r="H488" s="1"/>
      <c r="I488" s="1"/>
      <c r="J488" s="1"/>
      <c r="K488" s="1"/>
      <c r="L488" s="1"/>
      <c r="M488" s="1"/>
      <c r="N488" s="1"/>
      <c r="O488" s="1"/>
      <c r="P488" s="1"/>
      <c r="Q488" s="1"/>
      <c r="R488" s="1"/>
      <c r="S488" s="1"/>
      <c r="T488" s="1"/>
      <c r="U488" s="1"/>
      <c r="V488" s="1"/>
      <c r="W488" s="1"/>
    </row>
    <row r="489" spans="1:23">
      <c r="A489" s="223"/>
      <c r="B489" s="1"/>
      <c r="C489" s="1"/>
      <c r="D489" s="1"/>
      <c r="E489" s="1"/>
      <c r="F489" s="1"/>
      <c r="G489" s="1"/>
      <c r="H489" s="1"/>
      <c r="I489" s="1"/>
      <c r="J489" s="1"/>
      <c r="K489" s="1"/>
      <c r="L489" s="1"/>
      <c r="M489" s="1"/>
      <c r="N489" s="1"/>
      <c r="O489" s="1"/>
      <c r="P489" s="1"/>
      <c r="Q489" s="1"/>
      <c r="R489" s="1"/>
      <c r="S489" s="1"/>
      <c r="T489" s="1"/>
      <c r="U489" s="1"/>
      <c r="V489" s="1"/>
      <c r="W489" s="1"/>
    </row>
    <row r="490" spans="1:23">
      <c r="A490" s="223"/>
      <c r="B490" s="1"/>
      <c r="C490" s="1"/>
      <c r="D490" s="1"/>
      <c r="E490" s="1"/>
      <c r="F490" s="1"/>
      <c r="G490" s="1"/>
      <c r="H490" s="1"/>
      <c r="I490" s="1"/>
      <c r="J490" s="1"/>
      <c r="K490" s="1"/>
      <c r="L490" s="1"/>
      <c r="M490" s="1"/>
      <c r="N490" s="1"/>
      <c r="O490" s="1"/>
      <c r="P490" s="1"/>
      <c r="Q490" s="1"/>
      <c r="R490" s="1"/>
      <c r="S490" s="1"/>
      <c r="T490" s="1"/>
      <c r="U490" s="1"/>
      <c r="V490" s="1"/>
      <c r="W490" s="1"/>
    </row>
    <row r="491" spans="1:23">
      <c r="A491" s="223"/>
      <c r="B491" s="1"/>
      <c r="C491" s="1"/>
      <c r="D491" s="1"/>
      <c r="E491" s="1"/>
      <c r="F491" s="1"/>
      <c r="G491" s="1"/>
      <c r="H491" s="1"/>
      <c r="I491" s="1"/>
      <c r="J491" s="1"/>
      <c r="K491" s="1"/>
      <c r="L491" s="1"/>
      <c r="M491" s="1"/>
      <c r="N491" s="1"/>
      <c r="O491" s="1"/>
      <c r="P491" s="1"/>
      <c r="Q491" s="1"/>
      <c r="R491" s="1"/>
      <c r="S491" s="1"/>
      <c r="T491" s="1"/>
      <c r="U491" s="1"/>
      <c r="V491" s="1"/>
      <c r="W491" s="1"/>
    </row>
    <row r="492" spans="1:23">
      <c r="A492" s="223"/>
      <c r="B492" s="1"/>
      <c r="C492" s="1"/>
      <c r="D492" s="1"/>
      <c r="E492" s="1"/>
      <c r="F492" s="1"/>
      <c r="G492" s="1"/>
      <c r="H492" s="1"/>
      <c r="I492" s="1"/>
      <c r="J492" s="1"/>
      <c r="K492" s="1"/>
      <c r="L492" s="1"/>
      <c r="M492" s="1"/>
      <c r="N492" s="1"/>
      <c r="O492" s="1"/>
      <c r="P492" s="1"/>
      <c r="Q492" s="1"/>
      <c r="R492" s="1"/>
      <c r="S492" s="1"/>
      <c r="T492" s="1"/>
      <c r="U492" s="1"/>
      <c r="V492" s="1"/>
      <c r="W492" s="1"/>
    </row>
    <row r="493" spans="1:23">
      <c r="A493" s="223"/>
      <c r="B493" s="1"/>
      <c r="C493" s="1"/>
      <c r="D493" s="1"/>
      <c r="E493" s="1"/>
      <c r="F493" s="1"/>
      <c r="G493" s="1"/>
      <c r="H493" s="1"/>
      <c r="I493" s="1"/>
      <c r="J493" s="1"/>
      <c r="K493" s="1"/>
      <c r="L493" s="1"/>
      <c r="M493" s="1"/>
      <c r="N493" s="1"/>
      <c r="O493" s="1"/>
      <c r="P493" s="1"/>
      <c r="Q493" s="1"/>
      <c r="R493" s="1"/>
      <c r="S493" s="1"/>
      <c r="T493" s="1"/>
      <c r="U493" s="1"/>
      <c r="V493" s="1"/>
      <c r="W493" s="1"/>
    </row>
    <row r="494" spans="1:23">
      <c r="A494" s="223"/>
      <c r="B494" s="1"/>
      <c r="C494" s="1"/>
      <c r="D494" s="1"/>
      <c r="E494" s="1"/>
      <c r="F494" s="1"/>
      <c r="G494" s="1"/>
      <c r="H494" s="1"/>
      <c r="I494" s="1"/>
      <c r="J494" s="1"/>
      <c r="K494" s="1"/>
      <c r="L494" s="1"/>
      <c r="M494" s="1"/>
      <c r="N494" s="1"/>
      <c r="O494" s="1"/>
      <c r="P494" s="1"/>
      <c r="Q494" s="1"/>
      <c r="R494" s="1"/>
      <c r="S494" s="1"/>
      <c r="T494" s="1"/>
      <c r="U494" s="1"/>
      <c r="V494" s="1"/>
      <c r="W494" s="1"/>
    </row>
    <row r="495" spans="1:23">
      <c r="A495" s="223"/>
      <c r="B495" s="1"/>
      <c r="C495" s="1"/>
      <c r="D495" s="1"/>
      <c r="E495" s="1"/>
      <c r="F495" s="1"/>
      <c r="G495" s="1"/>
      <c r="H495" s="1"/>
      <c r="I495" s="1"/>
      <c r="J495" s="1"/>
      <c r="K495" s="1"/>
      <c r="L495" s="1"/>
      <c r="M495" s="1"/>
      <c r="N495" s="1"/>
      <c r="O495" s="1"/>
      <c r="P495" s="1"/>
      <c r="Q495" s="1"/>
      <c r="R495" s="1"/>
      <c r="S495" s="1"/>
      <c r="T495" s="1"/>
      <c r="U495" s="1"/>
      <c r="V495" s="1"/>
      <c r="W495" s="1"/>
    </row>
    <row r="496" spans="1:23">
      <c r="A496" s="223"/>
      <c r="B496" s="1"/>
      <c r="C496" s="1"/>
      <c r="D496" s="1"/>
      <c r="E496" s="1"/>
      <c r="F496" s="1"/>
      <c r="G496" s="1"/>
      <c r="H496" s="1"/>
      <c r="I496" s="1"/>
      <c r="J496" s="1"/>
      <c r="K496" s="1"/>
      <c r="L496" s="1"/>
      <c r="M496" s="1"/>
      <c r="N496" s="1"/>
      <c r="O496" s="1"/>
      <c r="P496" s="1"/>
      <c r="Q496" s="1"/>
      <c r="R496" s="1"/>
      <c r="S496" s="1"/>
      <c r="T496" s="1"/>
      <c r="U496" s="1"/>
      <c r="V496" s="1"/>
      <c r="W496" s="1"/>
    </row>
    <row r="497" spans="1:23">
      <c r="A497" s="223"/>
      <c r="B497" s="1"/>
      <c r="C497" s="1"/>
      <c r="D497" s="1"/>
      <c r="E497" s="1"/>
      <c r="F497" s="1"/>
      <c r="G497" s="1"/>
      <c r="H497" s="1"/>
      <c r="I497" s="1"/>
      <c r="J497" s="1"/>
      <c r="K497" s="1"/>
      <c r="L497" s="1"/>
      <c r="M497" s="1"/>
      <c r="N497" s="1"/>
      <c r="O497" s="1"/>
      <c r="P497" s="1"/>
      <c r="Q497" s="1"/>
      <c r="R497" s="1"/>
      <c r="S497" s="1"/>
      <c r="T497" s="1"/>
      <c r="U497" s="1"/>
      <c r="V497" s="1"/>
      <c r="W497" s="1"/>
    </row>
    <row r="498" spans="1:23">
      <c r="A498" s="223"/>
      <c r="B498" s="1"/>
      <c r="C498" s="1"/>
      <c r="D498" s="1"/>
      <c r="E498" s="1"/>
      <c r="F498" s="1"/>
      <c r="G498" s="1"/>
      <c r="H498" s="1"/>
      <c r="I498" s="1"/>
      <c r="J498" s="1"/>
      <c r="K498" s="1"/>
      <c r="L498" s="1"/>
      <c r="M498" s="1"/>
      <c r="N498" s="1"/>
      <c r="O498" s="1"/>
      <c r="P498" s="1"/>
      <c r="Q498" s="1"/>
      <c r="R498" s="1"/>
      <c r="S498" s="1"/>
      <c r="T498" s="1"/>
      <c r="U498" s="1"/>
      <c r="V498" s="1"/>
      <c r="W498" s="1"/>
    </row>
    <row r="499" spans="1:23">
      <c r="A499" s="223"/>
      <c r="B499" s="1"/>
      <c r="C499" s="1"/>
      <c r="D499" s="1"/>
      <c r="E499" s="1"/>
      <c r="F499" s="1"/>
      <c r="G499" s="1"/>
      <c r="H499" s="1"/>
      <c r="I499" s="1"/>
      <c r="J499" s="1"/>
      <c r="K499" s="1"/>
      <c r="L499" s="1"/>
      <c r="M499" s="1"/>
      <c r="N499" s="1"/>
      <c r="O499" s="1"/>
      <c r="P499" s="1"/>
      <c r="Q499" s="1"/>
      <c r="R499" s="1"/>
      <c r="S499" s="1"/>
      <c r="T499" s="1"/>
      <c r="U499" s="1"/>
      <c r="V499" s="1"/>
      <c r="W499" s="1"/>
    </row>
    <row r="500" spans="1:23">
      <c r="A500" s="223"/>
      <c r="B500" s="1"/>
      <c r="C500" s="1"/>
      <c r="D500" s="1"/>
      <c r="E500" s="1"/>
      <c r="F500" s="1"/>
      <c r="G500" s="1"/>
      <c r="H500" s="1"/>
      <c r="I500" s="1"/>
      <c r="J500" s="1"/>
      <c r="K500" s="1"/>
      <c r="L500" s="1"/>
      <c r="M500" s="1"/>
      <c r="N500" s="1"/>
      <c r="O500" s="1"/>
      <c r="P500" s="1"/>
      <c r="Q500" s="1"/>
      <c r="R500" s="1"/>
      <c r="S500" s="1"/>
      <c r="T500" s="1"/>
      <c r="U500" s="1"/>
      <c r="V500" s="1"/>
      <c r="W500" s="1"/>
    </row>
    <row r="501" spans="1:23">
      <c r="A501" s="223"/>
      <c r="B501" s="1"/>
      <c r="C501" s="1"/>
      <c r="D501" s="1"/>
      <c r="E501" s="1"/>
      <c r="F501" s="1"/>
      <c r="G501" s="1"/>
      <c r="H501" s="1"/>
      <c r="I501" s="1"/>
      <c r="J501" s="1"/>
      <c r="K501" s="1"/>
      <c r="L501" s="1"/>
      <c r="M501" s="1"/>
      <c r="N501" s="1"/>
      <c r="O501" s="1"/>
      <c r="P501" s="1"/>
      <c r="Q501" s="1"/>
      <c r="R501" s="1"/>
      <c r="S501" s="1"/>
      <c r="T501" s="1"/>
      <c r="U501" s="1"/>
      <c r="V501" s="1"/>
      <c r="W501" s="1"/>
    </row>
    <row r="502" spans="1:23">
      <c r="A502" s="223"/>
      <c r="B502" s="1"/>
      <c r="C502" s="1"/>
      <c r="D502" s="1"/>
      <c r="E502" s="1"/>
      <c r="F502" s="1"/>
      <c r="G502" s="1"/>
      <c r="H502" s="1"/>
      <c r="I502" s="1"/>
      <c r="J502" s="1"/>
      <c r="K502" s="1"/>
      <c r="L502" s="1"/>
      <c r="M502" s="1"/>
      <c r="N502" s="1"/>
      <c r="O502" s="1"/>
      <c r="P502" s="1"/>
      <c r="Q502" s="1"/>
      <c r="R502" s="1"/>
      <c r="S502" s="1"/>
      <c r="T502" s="1"/>
      <c r="U502" s="1"/>
      <c r="V502" s="1"/>
      <c r="W502" s="1"/>
    </row>
    <row r="503" spans="1:23">
      <c r="A503" s="223"/>
      <c r="B503" s="1"/>
      <c r="C503" s="1"/>
      <c r="D503" s="1"/>
      <c r="E503" s="1"/>
      <c r="F503" s="1"/>
      <c r="G503" s="1"/>
      <c r="H503" s="1"/>
      <c r="I503" s="1"/>
      <c r="J503" s="1"/>
      <c r="K503" s="1"/>
      <c r="L503" s="1"/>
      <c r="M503" s="1"/>
      <c r="N503" s="1"/>
      <c r="O503" s="1"/>
      <c r="P503" s="1"/>
      <c r="Q503" s="1"/>
      <c r="R503" s="1"/>
      <c r="S503" s="1"/>
      <c r="T503" s="1"/>
      <c r="U503" s="1"/>
      <c r="V503" s="1"/>
      <c r="W503" s="1"/>
    </row>
    <row r="504" spans="1:23">
      <c r="A504" s="223"/>
      <c r="B504" s="1"/>
      <c r="C504" s="1"/>
      <c r="D504" s="1"/>
      <c r="E504" s="1"/>
      <c r="F504" s="1"/>
      <c r="G504" s="1"/>
      <c r="H504" s="1"/>
      <c r="I504" s="1"/>
      <c r="J504" s="1"/>
      <c r="K504" s="1"/>
      <c r="L504" s="1"/>
      <c r="M504" s="1"/>
      <c r="N504" s="1"/>
      <c r="O504" s="1"/>
      <c r="P504" s="1"/>
      <c r="Q504" s="1"/>
      <c r="R504" s="1"/>
      <c r="S504" s="1"/>
      <c r="T504" s="1"/>
      <c r="U504" s="1"/>
      <c r="V504" s="1"/>
      <c r="W504" s="1"/>
    </row>
    <row r="505" spans="1:23">
      <c r="A505" s="223"/>
      <c r="B505" s="1"/>
      <c r="C505" s="1"/>
      <c r="D505" s="1"/>
      <c r="E505" s="1"/>
      <c r="F505" s="1"/>
      <c r="G505" s="1"/>
      <c r="H505" s="1"/>
      <c r="I505" s="1"/>
      <c r="J505" s="1"/>
      <c r="K505" s="1"/>
      <c r="L505" s="1"/>
      <c r="M505" s="1"/>
      <c r="N505" s="1"/>
      <c r="O505" s="1"/>
      <c r="P505" s="1"/>
      <c r="Q505" s="1"/>
      <c r="R505" s="1"/>
      <c r="S505" s="1"/>
      <c r="T505" s="1"/>
      <c r="U505" s="1"/>
      <c r="V505" s="1"/>
      <c r="W505" s="1"/>
    </row>
    <row r="506" spans="1:23">
      <c r="A506" s="223"/>
      <c r="B506" s="1"/>
      <c r="C506" s="1"/>
      <c r="D506" s="1"/>
      <c r="E506" s="1"/>
      <c r="F506" s="1"/>
      <c r="G506" s="1"/>
      <c r="H506" s="1"/>
      <c r="I506" s="1"/>
      <c r="J506" s="1"/>
      <c r="K506" s="1"/>
      <c r="L506" s="1"/>
      <c r="M506" s="1"/>
      <c r="N506" s="1"/>
      <c r="O506" s="1"/>
      <c r="P506" s="1"/>
      <c r="Q506" s="1"/>
      <c r="R506" s="1"/>
      <c r="S506" s="1"/>
      <c r="T506" s="1"/>
      <c r="U506" s="1"/>
      <c r="V506" s="1"/>
      <c r="W506" s="1"/>
    </row>
    <row r="507" spans="1:23">
      <c r="A507" s="223"/>
      <c r="B507" s="1"/>
      <c r="C507" s="1"/>
      <c r="D507" s="1"/>
      <c r="E507" s="1"/>
      <c r="F507" s="1"/>
      <c r="G507" s="1"/>
      <c r="H507" s="1"/>
      <c r="I507" s="1"/>
      <c r="J507" s="1"/>
      <c r="K507" s="1"/>
      <c r="L507" s="1"/>
      <c r="M507" s="1"/>
      <c r="N507" s="1"/>
      <c r="O507" s="1"/>
      <c r="P507" s="1"/>
      <c r="Q507" s="1"/>
      <c r="R507" s="1"/>
      <c r="S507" s="1"/>
      <c r="T507" s="1"/>
      <c r="U507" s="1"/>
      <c r="V507" s="1"/>
      <c r="W507" s="1"/>
    </row>
    <row r="508" spans="1:23">
      <c r="A508" s="223"/>
      <c r="B508" s="1"/>
      <c r="C508" s="1"/>
      <c r="D508" s="1"/>
      <c r="E508" s="1"/>
      <c r="F508" s="1"/>
      <c r="G508" s="1"/>
      <c r="H508" s="1"/>
      <c r="I508" s="1"/>
      <c r="J508" s="1"/>
      <c r="K508" s="1"/>
      <c r="L508" s="1"/>
      <c r="M508" s="1"/>
      <c r="N508" s="1"/>
      <c r="O508" s="1"/>
      <c r="P508" s="1"/>
      <c r="Q508" s="1"/>
      <c r="R508" s="1"/>
      <c r="S508" s="1"/>
      <c r="T508" s="1"/>
      <c r="U508" s="1"/>
      <c r="V508" s="1"/>
      <c r="W508" s="1"/>
    </row>
    <row r="509" spans="1:23">
      <c r="A509" s="223"/>
      <c r="B509" s="1"/>
      <c r="C509" s="1"/>
      <c r="D509" s="1"/>
      <c r="E509" s="1"/>
      <c r="F509" s="1"/>
      <c r="G509" s="1"/>
      <c r="H509" s="1"/>
      <c r="I509" s="1"/>
      <c r="J509" s="1"/>
      <c r="K509" s="1"/>
      <c r="L509" s="1"/>
      <c r="M509" s="1"/>
      <c r="N509" s="1"/>
      <c r="O509" s="1"/>
      <c r="P509" s="1"/>
      <c r="Q509" s="1"/>
      <c r="R509" s="1"/>
      <c r="S509" s="1"/>
      <c r="T509" s="1"/>
      <c r="U509" s="1"/>
      <c r="V509" s="1"/>
      <c r="W509" s="1"/>
    </row>
    <row r="510" spans="1:23">
      <c r="A510" s="223"/>
      <c r="B510" s="1"/>
      <c r="C510" s="1"/>
      <c r="D510" s="1"/>
      <c r="E510" s="1"/>
      <c r="F510" s="1"/>
      <c r="G510" s="1"/>
      <c r="H510" s="1"/>
      <c r="I510" s="1"/>
      <c r="J510" s="1"/>
      <c r="K510" s="1"/>
      <c r="L510" s="1"/>
      <c r="M510" s="1"/>
      <c r="N510" s="1"/>
      <c r="O510" s="1"/>
      <c r="P510" s="1"/>
      <c r="Q510" s="1"/>
      <c r="R510" s="1"/>
      <c r="S510" s="1"/>
      <c r="T510" s="1"/>
      <c r="U510" s="1"/>
      <c r="V510" s="1"/>
      <c r="W510" s="1"/>
    </row>
    <row r="511" spans="1:23">
      <c r="A511" s="223"/>
      <c r="B511" s="1"/>
      <c r="C511" s="1"/>
      <c r="D511" s="1"/>
      <c r="E511" s="1"/>
      <c r="F511" s="1"/>
      <c r="G511" s="1"/>
      <c r="H511" s="1"/>
      <c r="I511" s="1"/>
      <c r="J511" s="1"/>
      <c r="K511" s="1"/>
      <c r="L511" s="1"/>
      <c r="M511" s="1"/>
      <c r="N511" s="1"/>
      <c r="O511" s="1"/>
      <c r="P511" s="1"/>
      <c r="Q511" s="1"/>
      <c r="R511" s="1"/>
      <c r="S511" s="1"/>
      <c r="T511" s="1"/>
      <c r="U511" s="1"/>
      <c r="V511" s="1"/>
      <c r="W511" s="1"/>
    </row>
    <row r="512" spans="1:23">
      <c r="A512" s="223"/>
      <c r="B512" s="1"/>
      <c r="C512" s="1"/>
      <c r="D512" s="1"/>
      <c r="E512" s="1"/>
      <c r="F512" s="1"/>
      <c r="G512" s="1"/>
      <c r="H512" s="1"/>
      <c r="I512" s="1"/>
      <c r="J512" s="1"/>
      <c r="K512" s="1"/>
      <c r="L512" s="1"/>
      <c r="M512" s="1"/>
      <c r="N512" s="1"/>
      <c r="O512" s="1"/>
      <c r="P512" s="1"/>
      <c r="Q512" s="1"/>
      <c r="R512" s="1"/>
      <c r="S512" s="1"/>
      <c r="T512" s="1"/>
      <c r="U512" s="1"/>
      <c r="V512" s="1"/>
      <c r="W512" s="1"/>
    </row>
    <row r="513" spans="1:23">
      <c r="A513" s="223"/>
      <c r="B513" s="1"/>
      <c r="C513" s="1"/>
      <c r="D513" s="1"/>
      <c r="E513" s="1"/>
      <c r="F513" s="1"/>
      <c r="G513" s="1"/>
      <c r="H513" s="1"/>
      <c r="I513" s="1"/>
      <c r="J513" s="1"/>
      <c r="K513" s="1"/>
      <c r="L513" s="1"/>
      <c r="M513" s="1"/>
      <c r="N513" s="1"/>
      <c r="O513" s="1"/>
      <c r="P513" s="1"/>
      <c r="Q513" s="1"/>
      <c r="R513" s="1"/>
      <c r="S513" s="1"/>
      <c r="T513" s="1"/>
      <c r="U513" s="1"/>
      <c r="V513" s="1"/>
      <c r="W513" s="1"/>
    </row>
    <row r="514" spans="1:23">
      <c r="A514" s="223"/>
      <c r="B514" s="1"/>
      <c r="C514" s="1"/>
      <c r="D514" s="1"/>
      <c r="E514" s="1"/>
      <c r="F514" s="1"/>
      <c r="G514" s="1"/>
      <c r="H514" s="1"/>
      <c r="I514" s="1"/>
      <c r="J514" s="1"/>
      <c r="K514" s="1"/>
      <c r="L514" s="1"/>
      <c r="M514" s="1"/>
      <c r="N514" s="1"/>
      <c r="O514" s="1"/>
      <c r="P514" s="1"/>
      <c r="Q514" s="1"/>
      <c r="R514" s="1"/>
      <c r="S514" s="1"/>
      <c r="T514" s="1"/>
      <c r="U514" s="1"/>
      <c r="V514" s="1"/>
      <c r="W514" s="1"/>
    </row>
    <row r="515" spans="1:23">
      <c r="A515" s="223"/>
      <c r="B515" s="1"/>
      <c r="C515" s="1"/>
      <c r="D515" s="1"/>
      <c r="E515" s="1"/>
      <c r="F515" s="1"/>
      <c r="G515" s="1"/>
      <c r="H515" s="1"/>
      <c r="I515" s="1"/>
      <c r="J515" s="1"/>
      <c r="K515" s="1"/>
      <c r="L515" s="1"/>
      <c r="M515" s="1"/>
      <c r="N515" s="1"/>
      <c r="O515" s="1"/>
      <c r="P515" s="1"/>
      <c r="Q515" s="1"/>
      <c r="R515" s="1"/>
      <c r="S515" s="1"/>
      <c r="T515" s="1"/>
      <c r="U515" s="1"/>
      <c r="V515" s="1"/>
      <c r="W515" s="1"/>
    </row>
    <row r="516" spans="1:23">
      <c r="A516" s="223"/>
      <c r="B516" s="1"/>
      <c r="C516" s="1"/>
      <c r="D516" s="1"/>
      <c r="E516" s="1"/>
      <c r="F516" s="1"/>
      <c r="G516" s="1"/>
      <c r="H516" s="1"/>
      <c r="I516" s="1"/>
      <c r="J516" s="1"/>
      <c r="K516" s="1"/>
      <c r="L516" s="1"/>
      <c r="M516" s="1"/>
      <c r="N516" s="1"/>
      <c r="O516" s="1"/>
      <c r="P516" s="1"/>
      <c r="Q516" s="1"/>
      <c r="R516" s="1"/>
      <c r="S516" s="1"/>
      <c r="T516" s="1"/>
      <c r="U516" s="1"/>
      <c r="V516" s="1"/>
      <c r="W516" s="1"/>
    </row>
    <row r="517" spans="1:23">
      <c r="A517" s="223"/>
      <c r="B517" s="1"/>
      <c r="C517" s="1"/>
      <c r="D517" s="1"/>
      <c r="E517" s="1"/>
      <c r="F517" s="1"/>
      <c r="G517" s="1"/>
      <c r="H517" s="1"/>
      <c r="I517" s="1"/>
      <c r="J517" s="1"/>
      <c r="K517" s="1"/>
      <c r="L517" s="1"/>
      <c r="M517" s="1"/>
      <c r="N517" s="1"/>
      <c r="O517" s="1"/>
      <c r="P517" s="1"/>
      <c r="Q517" s="1"/>
      <c r="R517" s="1"/>
      <c r="S517" s="1"/>
      <c r="T517" s="1"/>
      <c r="U517" s="1"/>
      <c r="V517" s="1"/>
      <c r="W517" s="1"/>
    </row>
    <row r="518" spans="1:23">
      <c r="A518" s="223"/>
      <c r="B518" s="1"/>
      <c r="C518" s="1"/>
      <c r="D518" s="1"/>
      <c r="E518" s="1"/>
      <c r="F518" s="1"/>
      <c r="G518" s="1"/>
      <c r="H518" s="1"/>
      <c r="I518" s="1"/>
      <c r="J518" s="1"/>
      <c r="K518" s="1"/>
      <c r="L518" s="1"/>
      <c r="M518" s="1"/>
      <c r="N518" s="1"/>
      <c r="O518" s="1"/>
      <c r="P518" s="1"/>
      <c r="Q518" s="1"/>
      <c r="R518" s="1"/>
      <c r="S518" s="1"/>
      <c r="T518" s="1"/>
      <c r="U518" s="1"/>
      <c r="V518" s="1"/>
      <c r="W518" s="1"/>
    </row>
    <row r="519" spans="1:23">
      <c r="A519" s="223"/>
      <c r="B519" s="1"/>
      <c r="C519" s="1"/>
      <c r="D519" s="1"/>
      <c r="E519" s="1"/>
      <c r="F519" s="1"/>
      <c r="G519" s="1"/>
      <c r="H519" s="1"/>
      <c r="I519" s="1"/>
      <c r="J519" s="1"/>
      <c r="K519" s="1"/>
      <c r="L519" s="1"/>
      <c r="M519" s="1"/>
      <c r="N519" s="1"/>
      <c r="O519" s="1"/>
      <c r="P519" s="1"/>
      <c r="Q519" s="1"/>
      <c r="R519" s="1"/>
      <c r="S519" s="1"/>
      <c r="T519" s="1"/>
      <c r="U519" s="1"/>
      <c r="V519" s="1"/>
      <c r="W519" s="1"/>
    </row>
    <row r="520" spans="1:23">
      <c r="A520" s="223"/>
      <c r="B520" s="1"/>
      <c r="C520" s="1"/>
      <c r="D520" s="1"/>
      <c r="E520" s="1"/>
      <c r="F520" s="1"/>
      <c r="G520" s="1"/>
      <c r="H520" s="1"/>
      <c r="I520" s="1"/>
      <c r="J520" s="1"/>
      <c r="K520" s="1"/>
      <c r="L520" s="1"/>
      <c r="M520" s="1"/>
      <c r="N520" s="1"/>
      <c r="O520" s="1"/>
      <c r="P520" s="1"/>
      <c r="Q520" s="1"/>
      <c r="R520" s="1"/>
      <c r="S520" s="1"/>
      <c r="T520" s="1"/>
      <c r="U520" s="1"/>
      <c r="V520" s="1"/>
      <c r="W520" s="1"/>
    </row>
    <row r="521" spans="1:23">
      <c r="A521" s="223"/>
      <c r="B521" s="1"/>
      <c r="C521" s="1"/>
      <c r="D521" s="1"/>
      <c r="E521" s="1"/>
      <c r="F521" s="1"/>
      <c r="G521" s="1"/>
      <c r="H521" s="1"/>
      <c r="I521" s="1"/>
      <c r="J521" s="1"/>
      <c r="K521" s="1"/>
      <c r="L521" s="1"/>
      <c r="M521" s="1"/>
      <c r="N521" s="1"/>
      <c r="O521" s="1"/>
      <c r="P521" s="1"/>
      <c r="Q521" s="1"/>
      <c r="R521" s="1"/>
      <c r="S521" s="1"/>
      <c r="T521" s="1"/>
      <c r="U521" s="1"/>
      <c r="V521" s="1"/>
      <c r="W521" s="1"/>
    </row>
    <row r="522" spans="1:23">
      <c r="A522" s="223"/>
      <c r="B522" s="1"/>
      <c r="C522" s="1"/>
      <c r="D522" s="1"/>
      <c r="E522" s="1"/>
      <c r="F522" s="1"/>
      <c r="G522" s="1"/>
      <c r="H522" s="1"/>
      <c r="I522" s="1"/>
      <c r="J522" s="1"/>
      <c r="K522" s="1"/>
      <c r="L522" s="1"/>
      <c r="M522" s="1"/>
      <c r="N522" s="1"/>
      <c r="O522" s="1"/>
      <c r="P522" s="1"/>
      <c r="Q522" s="1"/>
      <c r="R522" s="1"/>
      <c r="S522" s="1"/>
      <c r="T522" s="1"/>
      <c r="U522" s="1"/>
      <c r="V522" s="1"/>
      <c r="W522" s="1"/>
    </row>
    <row r="523" spans="1:23">
      <c r="A523" s="223"/>
      <c r="B523" s="1"/>
      <c r="C523" s="1"/>
      <c r="D523" s="1"/>
      <c r="E523" s="1"/>
      <c r="F523" s="1"/>
      <c r="G523" s="1"/>
      <c r="H523" s="1"/>
      <c r="I523" s="1"/>
      <c r="J523" s="1"/>
      <c r="K523" s="1"/>
      <c r="L523" s="1"/>
      <c r="M523" s="1"/>
      <c r="N523" s="1"/>
      <c r="O523" s="1"/>
      <c r="P523" s="1"/>
      <c r="Q523" s="1"/>
      <c r="R523" s="1"/>
      <c r="S523" s="1"/>
      <c r="T523" s="1"/>
      <c r="U523" s="1"/>
      <c r="V523" s="1"/>
      <c r="W523" s="1"/>
    </row>
    <row r="524" spans="1:23">
      <c r="A524" s="223"/>
      <c r="B524" s="1"/>
      <c r="C524" s="1"/>
      <c r="D524" s="1"/>
      <c r="E524" s="1"/>
      <c r="F524" s="1"/>
      <c r="G524" s="1"/>
      <c r="H524" s="1"/>
      <c r="I524" s="1"/>
      <c r="J524" s="1"/>
      <c r="K524" s="1"/>
      <c r="L524" s="1"/>
      <c r="M524" s="1"/>
      <c r="N524" s="1"/>
      <c r="O524" s="1"/>
      <c r="P524" s="1"/>
      <c r="Q524" s="1"/>
      <c r="R524" s="1"/>
      <c r="S524" s="1"/>
      <c r="T524" s="1"/>
      <c r="U524" s="1"/>
      <c r="V524" s="1"/>
      <c r="W524" s="1"/>
    </row>
    <row r="525" spans="1:23">
      <c r="A525" s="223"/>
      <c r="B525" s="1"/>
      <c r="C525" s="1"/>
      <c r="D525" s="1"/>
      <c r="E525" s="1"/>
      <c r="F525" s="1"/>
      <c r="G525" s="1"/>
      <c r="H525" s="1"/>
      <c r="I525" s="1"/>
      <c r="J525" s="1"/>
      <c r="K525" s="1"/>
      <c r="L525" s="1"/>
      <c r="M525" s="1"/>
      <c r="N525" s="1"/>
      <c r="O525" s="1"/>
      <c r="P525" s="1"/>
      <c r="Q525" s="1"/>
      <c r="R525" s="1"/>
      <c r="S525" s="1"/>
      <c r="T525" s="1"/>
      <c r="U525" s="1"/>
      <c r="V525" s="1"/>
      <c r="W525" s="1"/>
    </row>
    <row r="526" spans="1:23">
      <c r="A526" s="223"/>
      <c r="B526" s="1"/>
      <c r="C526" s="1"/>
      <c r="D526" s="1"/>
      <c r="E526" s="1"/>
      <c r="F526" s="1"/>
      <c r="G526" s="1"/>
      <c r="H526" s="1"/>
      <c r="I526" s="1"/>
      <c r="J526" s="1"/>
      <c r="K526" s="1"/>
      <c r="L526" s="1"/>
      <c r="M526" s="1"/>
      <c r="N526" s="1"/>
      <c r="O526" s="1"/>
      <c r="P526" s="1"/>
      <c r="Q526" s="1"/>
      <c r="R526" s="1"/>
      <c r="S526" s="1"/>
      <c r="T526" s="1"/>
      <c r="U526" s="1"/>
      <c r="V526" s="1"/>
      <c r="W526" s="1"/>
    </row>
    <row r="527" spans="1:23">
      <c r="A527" s="223"/>
      <c r="B527" s="1"/>
      <c r="C527" s="1"/>
      <c r="D527" s="1"/>
      <c r="E527" s="1"/>
      <c r="F527" s="1"/>
      <c r="G527" s="1"/>
      <c r="H527" s="1"/>
      <c r="I527" s="1"/>
      <c r="J527" s="1"/>
      <c r="K527" s="1"/>
      <c r="L527" s="1"/>
      <c r="M527" s="1"/>
      <c r="N527" s="1"/>
      <c r="O527" s="1"/>
      <c r="P527" s="1"/>
      <c r="Q527" s="1"/>
      <c r="R527" s="1"/>
      <c r="S527" s="1"/>
      <c r="T527" s="1"/>
      <c r="U527" s="1"/>
      <c r="V527" s="1"/>
      <c r="W527" s="1"/>
    </row>
    <row r="528" spans="1:23">
      <c r="A528" s="223"/>
      <c r="B528" s="1"/>
      <c r="C528" s="1"/>
      <c r="D528" s="1"/>
      <c r="E528" s="1"/>
      <c r="F528" s="1"/>
      <c r="G528" s="1"/>
      <c r="H528" s="1"/>
      <c r="I528" s="1"/>
      <c r="J528" s="1"/>
      <c r="K528" s="1"/>
      <c r="L528" s="1"/>
      <c r="M528" s="1"/>
      <c r="N528" s="1"/>
      <c r="O528" s="1"/>
      <c r="P528" s="1"/>
      <c r="Q528" s="1"/>
      <c r="R528" s="1"/>
      <c r="S528" s="1"/>
      <c r="T528" s="1"/>
      <c r="U528" s="1"/>
      <c r="V528" s="1"/>
      <c r="W528" s="1"/>
    </row>
    <row r="529" spans="1:23">
      <c r="A529" s="223"/>
      <c r="B529" s="1"/>
      <c r="C529" s="1"/>
      <c r="D529" s="1"/>
      <c r="E529" s="1"/>
      <c r="F529" s="1"/>
      <c r="G529" s="1"/>
      <c r="H529" s="1"/>
      <c r="I529" s="1"/>
      <c r="J529" s="1"/>
      <c r="K529" s="1"/>
      <c r="L529" s="1"/>
      <c r="M529" s="1"/>
      <c r="N529" s="1"/>
      <c r="O529" s="1"/>
      <c r="P529" s="1"/>
      <c r="Q529" s="1"/>
      <c r="R529" s="1"/>
      <c r="S529" s="1"/>
      <c r="T529" s="1"/>
      <c r="U529" s="1"/>
      <c r="V529" s="1"/>
      <c r="W529" s="1"/>
    </row>
    <row r="530" spans="1:23">
      <c r="A530" s="223"/>
      <c r="B530" s="1"/>
      <c r="C530" s="1"/>
      <c r="D530" s="1"/>
      <c r="E530" s="1"/>
      <c r="F530" s="1"/>
      <c r="G530" s="1"/>
      <c r="H530" s="1"/>
      <c r="I530" s="1"/>
      <c r="J530" s="1"/>
      <c r="K530" s="1"/>
      <c r="L530" s="1"/>
      <c r="M530" s="1"/>
      <c r="N530" s="1"/>
      <c r="O530" s="1"/>
      <c r="P530" s="1"/>
      <c r="Q530" s="1"/>
      <c r="R530" s="1"/>
      <c r="S530" s="1"/>
      <c r="T530" s="1"/>
      <c r="U530" s="1"/>
      <c r="V530" s="1"/>
      <c r="W530" s="1"/>
    </row>
    <row r="531" spans="1:23">
      <c r="A531" s="223"/>
      <c r="B531" s="1"/>
      <c r="C531" s="1"/>
      <c r="D531" s="1"/>
      <c r="E531" s="1"/>
      <c r="F531" s="1"/>
      <c r="G531" s="1"/>
      <c r="H531" s="1"/>
      <c r="I531" s="1"/>
      <c r="J531" s="1"/>
      <c r="K531" s="1"/>
      <c r="L531" s="1"/>
      <c r="M531" s="1"/>
      <c r="N531" s="1"/>
      <c r="O531" s="1"/>
      <c r="P531" s="1"/>
      <c r="Q531" s="1"/>
      <c r="R531" s="1"/>
      <c r="S531" s="1"/>
      <c r="T531" s="1"/>
      <c r="U531" s="1"/>
      <c r="V531" s="1"/>
      <c r="W531" s="1"/>
    </row>
    <row r="532" spans="1:23">
      <c r="A532" s="223"/>
      <c r="B532" s="1"/>
      <c r="C532" s="1"/>
      <c r="D532" s="1"/>
      <c r="E532" s="1"/>
      <c r="F532" s="1"/>
      <c r="G532" s="1"/>
      <c r="H532" s="1"/>
      <c r="I532" s="1"/>
      <c r="J532" s="1"/>
      <c r="K532" s="1"/>
      <c r="L532" s="1"/>
      <c r="M532" s="1"/>
      <c r="N532" s="1"/>
      <c r="O532" s="1"/>
      <c r="P532" s="1"/>
      <c r="Q532" s="1"/>
      <c r="R532" s="1"/>
      <c r="S532" s="1"/>
      <c r="T532" s="1"/>
      <c r="U532" s="1"/>
      <c r="V532" s="1"/>
      <c r="W532" s="1"/>
    </row>
    <row r="533" spans="1:23">
      <c r="A533" s="223"/>
      <c r="B533" s="1"/>
      <c r="C533" s="1"/>
      <c r="D533" s="1"/>
      <c r="E533" s="1"/>
      <c r="F533" s="1"/>
      <c r="G533" s="1"/>
      <c r="H533" s="1"/>
      <c r="I533" s="1"/>
      <c r="J533" s="1"/>
      <c r="K533" s="1"/>
      <c r="L533" s="1"/>
      <c r="M533" s="1"/>
      <c r="N533" s="1"/>
      <c r="O533" s="1"/>
      <c r="P533" s="1"/>
      <c r="Q533" s="1"/>
      <c r="R533" s="1"/>
      <c r="S533" s="1"/>
      <c r="T533" s="1"/>
      <c r="U533" s="1"/>
      <c r="V533" s="1"/>
      <c r="W533" s="1"/>
    </row>
    <row r="534" spans="1:23">
      <c r="A534" s="223"/>
      <c r="B534" s="1"/>
      <c r="C534" s="1"/>
      <c r="D534" s="1"/>
      <c r="E534" s="1"/>
      <c r="F534" s="1"/>
      <c r="G534" s="1"/>
      <c r="H534" s="1"/>
      <c r="I534" s="1"/>
      <c r="J534" s="1"/>
      <c r="K534" s="1"/>
      <c r="L534" s="1"/>
      <c r="M534" s="1"/>
      <c r="N534" s="1"/>
      <c r="O534" s="1"/>
      <c r="P534" s="1"/>
      <c r="Q534" s="1"/>
      <c r="R534" s="1"/>
      <c r="S534" s="1"/>
      <c r="T534" s="1"/>
      <c r="U534" s="1"/>
      <c r="V534" s="1"/>
      <c r="W534" s="1"/>
    </row>
    <row r="535" spans="1:23">
      <c r="A535" s="223"/>
      <c r="B535" s="1"/>
      <c r="C535" s="1"/>
      <c r="D535" s="1"/>
      <c r="E535" s="1"/>
      <c r="F535" s="1"/>
      <c r="G535" s="1"/>
      <c r="H535" s="1"/>
      <c r="I535" s="1"/>
      <c r="J535" s="1"/>
      <c r="K535" s="1"/>
      <c r="L535" s="1"/>
      <c r="M535" s="1"/>
      <c r="N535" s="1"/>
      <c r="O535" s="1"/>
      <c r="P535" s="1"/>
      <c r="Q535" s="1"/>
      <c r="R535" s="1"/>
      <c r="S535" s="1"/>
      <c r="T535" s="1"/>
      <c r="U535" s="1"/>
      <c r="V535" s="1"/>
      <c r="W535" s="1"/>
    </row>
    <row r="536" spans="1:23">
      <c r="A536" s="223"/>
      <c r="B536" s="1"/>
      <c r="C536" s="1"/>
      <c r="D536" s="1"/>
      <c r="E536" s="1"/>
      <c r="F536" s="1"/>
      <c r="G536" s="1"/>
      <c r="H536" s="1"/>
      <c r="I536" s="1"/>
      <c r="J536" s="1"/>
      <c r="K536" s="1"/>
      <c r="L536" s="1"/>
      <c r="M536" s="1"/>
      <c r="N536" s="1"/>
      <c r="O536" s="1"/>
      <c r="P536" s="1"/>
      <c r="Q536" s="1"/>
      <c r="R536" s="1"/>
      <c r="S536" s="1"/>
      <c r="T536" s="1"/>
      <c r="U536" s="1"/>
      <c r="V536" s="1"/>
      <c r="W536" s="1"/>
    </row>
    <row r="537" spans="1:23">
      <c r="A537" s="223"/>
      <c r="B537" s="1"/>
      <c r="C537" s="1"/>
      <c r="D537" s="1"/>
      <c r="E537" s="1"/>
      <c r="F537" s="1"/>
      <c r="G537" s="1"/>
      <c r="H537" s="1"/>
      <c r="I537" s="1"/>
      <c r="J537" s="1"/>
      <c r="K537" s="1"/>
      <c r="L537" s="1"/>
      <c r="M537" s="1"/>
      <c r="N537" s="1"/>
      <c r="O537" s="1"/>
      <c r="P537" s="1"/>
      <c r="Q537" s="1"/>
      <c r="R537" s="1"/>
      <c r="S537" s="1"/>
      <c r="T537" s="1"/>
      <c r="U537" s="1"/>
      <c r="V537" s="1"/>
      <c r="W537" s="1"/>
    </row>
    <row r="538" spans="1:23">
      <c r="A538" s="223"/>
      <c r="B538" s="1"/>
      <c r="C538" s="1"/>
      <c r="D538" s="1"/>
      <c r="E538" s="1"/>
      <c r="F538" s="1"/>
      <c r="G538" s="1"/>
      <c r="H538" s="1"/>
      <c r="I538" s="1"/>
      <c r="J538" s="1"/>
      <c r="K538" s="1"/>
      <c r="L538" s="1"/>
      <c r="M538" s="1"/>
      <c r="N538" s="1"/>
      <c r="O538" s="1"/>
      <c r="P538" s="1"/>
      <c r="Q538" s="1"/>
      <c r="R538" s="1"/>
      <c r="S538" s="1"/>
      <c r="T538" s="1"/>
      <c r="U538" s="1"/>
      <c r="V538" s="1"/>
      <c r="W538" s="1"/>
    </row>
    <row r="539" spans="1:23">
      <c r="A539" s="223"/>
      <c r="B539" s="1"/>
      <c r="C539" s="1"/>
      <c r="D539" s="1"/>
      <c r="E539" s="1"/>
      <c r="F539" s="1"/>
      <c r="G539" s="1"/>
      <c r="H539" s="1"/>
      <c r="I539" s="1"/>
      <c r="J539" s="1"/>
      <c r="K539" s="1"/>
      <c r="L539" s="1"/>
      <c r="M539" s="1"/>
      <c r="N539" s="1"/>
      <c r="O539" s="1"/>
      <c r="P539" s="1"/>
      <c r="Q539" s="1"/>
      <c r="R539" s="1"/>
      <c r="S539" s="1"/>
      <c r="T539" s="1"/>
      <c r="U539" s="1"/>
      <c r="V539" s="1"/>
      <c r="W539" s="1"/>
    </row>
    <row r="540" spans="1:23">
      <c r="A540" s="223"/>
      <c r="B540" s="1"/>
      <c r="C540" s="1"/>
      <c r="D540" s="1"/>
      <c r="E540" s="1"/>
      <c r="F540" s="1"/>
      <c r="G540" s="1"/>
      <c r="H540" s="1"/>
      <c r="I540" s="1"/>
      <c r="J540" s="1"/>
      <c r="K540" s="1"/>
      <c r="L540" s="1"/>
      <c r="M540" s="1"/>
      <c r="N540" s="1"/>
      <c r="O540" s="1"/>
      <c r="P540" s="1"/>
      <c r="Q540" s="1"/>
      <c r="R540" s="1"/>
      <c r="S540" s="1"/>
      <c r="T540" s="1"/>
      <c r="U540" s="1"/>
      <c r="V540" s="1"/>
      <c r="W540" s="1"/>
    </row>
    <row r="541" spans="1:23">
      <c r="A541" s="223"/>
      <c r="B541" s="1"/>
      <c r="C541" s="1"/>
      <c r="D541" s="1"/>
      <c r="E541" s="1"/>
      <c r="F541" s="1"/>
      <c r="G541" s="1"/>
      <c r="H541" s="1"/>
      <c r="I541" s="1"/>
      <c r="J541" s="1"/>
      <c r="K541" s="1"/>
      <c r="L541" s="1"/>
      <c r="M541" s="1"/>
      <c r="N541" s="1"/>
      <c r="O541" s="1"/>
      <c r="P541" s="1"/>
      <c r="Q541" s="1"/>
      <c r="R541" s="1"/>
      <c r="S541" s="1"/>
      <c r="T541" s="1"/>
      <c r="U541" s="1"/>
      <c r="V541" s="1"/>
      <c r="W541" s="1"/>
    </row>
    <row r="542" spans="1:23">
      <c r="A542" s="223"/>
      <c r="B542" s="1"/>
      <c r="C542" s="1"/>
      <c r="D542" s="1"/>
      <c r="E542" s="1"/>
      <c r="F542" s="1"/>
      <c r="G542" s="1"/>
      <c r="H542" s="1"/>
      <c r="I542" s="1"/>
      <c r="J542" s="1"/>
      <c r="K542" s="1"/>
      <c r="L542" s="1"/>
      <c r="M542" s="1"/>
      <c r="N542" s="1"/>
      <c r="O542" s="1"/>
      <c r="P542" s="1"/>
      <c r="Q542" s="1"/>
      <c r="R542" s="1"/>
      <c r="S542" s="1"/>
      <c r="T542" s="1"/>
      <c r="U542" s="1"/>
      <c r="V542" s="1"/>
      <c r="W542" s="1"/>
    </row>
    <row r="543" spans="1:23">
      <c r="A543" s="223"/>
      <c r="B543" s="1"/>
      <c r="C543" s="1"/>
      <c r="D543" s="1"/>
      <c r="E543" s="1"/>
      <c r="F543" s="1"/>
      <c r="G543" s="1"/>
      <c r="H543" s="1"/>
      <c r="I543" s="1"/>
      <c r="J543" s="1"/>
      <c r="K543" s="1"/>
      <c r="L543" s="1"/>
      <c r="M543" s="1"/>
      <c r="N543" s="1"/>
      <c r="O543" s="1"/>
      <c r="P543" s="1"/>
      <c r="Q543" s="1"/>
      <c r="R543" s="1"/>
      <c r="S543" s="1"/>
      <c r="T543" s="1"/>
      <c r="U543" s="1"/>
      <c r="V543" s="1"/>
      <c r="W543" s="1"/>
    </row>
    <row r="544" spans="1:23">
      <c r="A544" s="223"/>
      <c r="B544" s="1"/>
      <c r="C544" s="1"/>
      <c r="D544" s="1"/>
      <c r="E544" s="1"/>
      <c r="F544" s="1"/>
      <c r="G544" s="1"/>
      <c r="H544" s="1"/>
      <c r="I544" s="1"/>
      <c r="J544" s="1"/>
      <c r="K544" s="1"/>
      <c r="L544" s="1"/>
      <c r="M544" s="1"/>
      <c r="N544" s="1"/>
      <c r="O544" s="1"/>
      <c r="P544" s="1"/>
      <c r="Q544" s="1"/>
      <c r="R544" s="1"/>
      <c r="S544" s="1"/>
      <c r="T544" s="1"/>
      <c r="U544" s="1"/>
      <c r="V544" s="1"/>
      <c r="W544" s="1"/>
    </row>
    <row r="545" spans="1:23">
      <c r="A545" s="223"/>
      <c r="B545" s="1"/>
      <c r="C545" s="1"/>
      <c r="D545" s="1"/>
      <c r="E545" s="1"/>
      <c r="F545" s="1"/>
      <c r="G545" s="1"/>
      <c r="H545" s="1"/>
      <c r="I545" s="1"/>
      <c r="J545" s="1"/>
      <c r="K545" s="1"/>
      <c r="L545" s="1"/>
      <c r="M545" s="1"/>
      <c r="N545" s="1"/>
      <c r="O545" s="1"/>
      <c r="P545" s="1"/>
      <c r="Q545" s="1"/>
      <c r="R545" s="1"/>
      <c r="S545" s="1"/>
      <c r="T545" s="1"/>
      <c r="U545" s="1"/>
      <c r="V545" s="1"/>
      <c r="W545" s="1"/>
    </row>
    <row r="546" spans="1:23">
      <c r="A546" s="223"/>
      <c r="B546" s="1"/>
      <c r="C546" s="1"/>
      <c r="D546" s="1"/>
      <c r="E546" s="1"/>
      <c r="F546" s="1"/>
      <c r="G546" s="1"/>
      <c r="H546" s="1"/>
      <c r="I546" s="1"/>
      <c r="J546" s="1"/>
      <c r="K546" s="1"/>
      <c r="L546" s="1"/>
      <c r="M546" s="1"/>
      <c r="N546" s="1"/>
      <c r="O546" s="1"/>
      <c r="P546" s="1"/>
      <c r="Q546" s="1"/>
      <c r="R546" s="1"/>
      <c r="S546" s="1"/>
      <c r="T546" s="1"/>
      <c r="U546" s="1"/>
      <c r="V546" s="1"/>
      <c r="W546" s="1"/>
    </row>
    <row r="547" spans="1:23">
      <c r="A547" s="223"/>
      <c r="B547" s="1"/>
      <c r="C547" s="1"/>
      <c r="D547" s="1"/>
      <c r="E547" s="1"/>
      <c r="F547" s="1"/>
      <c r="G547" s="1"/>
      <c r="H547" s="1"/>
      <c r="I547" s="1"/>
      <c r="J547" s="1"/>
      <c r="K547" s="1"/>
      <c r="L547" s="1"/>
      <c r="M547" s="1"/>
      <c r="N547" s="1"/>
      <c r="O547" s="1"/>
      <c r="P547" s="1"/>
      <c r="Q547" s="1"/>
      <c r="R547" s="1"/>
      <c r="S547" s="1"/>
      <c r="T547" s="1"/>
      <c r="U547" s="1"/>
      <c r="V547" s="1"/>
      <c r="W547" s="1"/>
    </row>
    <row r="548" spans="1:23">
      <c r="A548" s="223"/>
      <c r="B548" s="1"/>
      <c r="C548" s="1"/>
      <c r="D548" s="1"/>
      <c r="E548" s="1"/>
      <c r="F548" s="1"/>
      <c r="G548" s="1"/>
      <c r="H548" s="1"/>
      <c r="I548" s="1"/>
      <c r="J548" s="1"/>
      <c r="K548" s="1"/>
      <c r="L548" s="1"/>
      <c r="M548" s="1"/>
      <c r="N548" s="1"/>
      <c r="O548" s="1"/>
      <c r="P548" s="1"/>
      <c r="Q548" s="1"/>
      <c r="R548" s="1"/>
      <c r="S548" s="1"/>
      <c r="T548" s="1"/>
      <c r="U548" s="1"/>
      <c r="V548" s="1"/>
      <c r="W548" s="1"/>
    </row>
    <row r="549" spans="1:23">
      <c r="A549" s="223"/>
      <c r="B549" s="1"/>
      <c r="C549" s="1"/>
      <c r="D549" s="1"/>
      <c r="E549" s="1"/>
      <c r="F549" s="1"/>
      <c r="G549" s="1"/>
      <c r="H549" s="1"/>
      <c r="I549" s="1"/>
      <c r="J549" s="1"/>
      <c r="K549" s="1"/>
      <c r="L549" s="1"/>
      <c r="M549" s="1"/>
      <c r="N549" s="1"/>
      <c r="O549" s="1"/>
      <c r="P549" s="1"/>
      <c r="Q549" s="1"/>
      <c r="R549" s="1"/>
      <c r="S549" s="1"/>
      <c r="T549" s="1"/>
      <c r="U549" s="1"/>
      <c r="V549" s="1"/>
      <c r="W549" s="1"/>
    </row>
    <row r="550" spans="1:23">
      <c r="A550" s="223"/>
      <c r="B550" s="1"/>
      <c r="C550" s="1"/>
      <c r="D550" s="1"/>
      <c r="E550" s="1"/>
      <c r="F550" s="1"/>
      <c r="G550" s="1"/>
      <c r="H550" s="1"/>
      <c r="I550" s="1"/>
      <c r="J550" s="1"/>
      <c r="K550" s="1"/>
      <c r="L550" s="1"/>
      <c r="M550" s="1"/>
      <c r="N550" s="1"/>
      <c r="O550" s="1"/>
      <c r="P550" s="1"/>
      <c r="Q550" s="1"/>
      <c r="R550" s="1"/>
      <c r="S550" s="1"/>
      <c r="T550" s="1"/>
      <c r="U550" s="1"/>
      <c r="V550" s="1"/>
      <c r="W550" s="1"/>
    </row>
    <row r="551" spans="1:23">
      <c r="A551" s="223"/>
      <c r="B551" s="1"/>
      <c r="C551" s="1"/>
      <c r="D551" s="1"/>
      <c r="E551" s="1"/>
      <c r="F551" s="1"/>
      <c r="G551" s="1"/>
      <c r="H551" s="1"/>
      <c r="I551" s="1"/>
      <c r="J551" s="1"/>
      <c r="K551" s="1"/>
      <c r="L551" s="1"/>
      <c r="M551" s="1"/>
      <c r="N551" s="1"/>
      <c r="O551" s="1"/>
      <c r="P551" s="1"/>
      <c r="Q551" s="1"/>
      <c r="R551" s="1"/>
      <c r="S551" s="1"/>
      <c r="T551" s="1"/>
      <c r="U551" s="1"/>
      <c r="V551" s="1"/>
      <c r="W551" s="1"/>
    </row>
    <row r="552" spans="1:23">
      <c r="A552" s="223"/>
      <c r="B552" s="1"/>
      <c r="C552" s="1"/>
      <c r="D552" s="1"/>
      <c r="E552" s="1"/>
      <c r="F552" s="1"/>
      <c r="G552" s="1"/>
      <c r="H552" s="1"/>
      <c r="I552" s="1"/>
      <c r="J552" s="1"/>
      <c r="K552" s="1"/>
      <c r="L552" s="1"/>
      <c r="M552" s="1"/>
      <c r="N552" s="1"/>
      <c r="O552" s="1"/>
      <c r="P552" s="1"/>
      <c r="Q552" s="1"/>
      <c r="R552" s="1"/>
      <c r="S552" s="1"/>
      <c r="T552" s="1"/>
      <c r="U552" s="1"/>
      <c r="V552" s="1"/>
      <c r="W552" s="1"/>
    </row>
    <row r="553" spans="1:23">
      <c r="A553" s="223"/>
      <c r="B553" s="1"/>
      <c r="C553" s="1"/>
      <c r="D553" s="1"/>
      <c r="E553" s="1"/>
      <c r="F553" s="1"/>
      <c r="G553" s="1"/>
      <c r="H553" s="1"/>
      <c r="I553" s="1"/>
      <c r="J553" s="1"/>
      <c r="K553" s="1"/>
      <c r="L553" s="1"/>
      <c r="M553" s="1"/>
      <c r="N553" s="1"/>
      <c r="O553" s="1"/>
      <c r="P553" s="1"/>
      <c r="Q553" s="1"/>
      <c r="R553" s="1"/>
      <c r="S553" s="1"/>
      <c r="T553" s="1"/>
      <c r="U553" s="1"/>
      <c r="V553" s="1"/>
      <c r="W553" s="1"/>
    </row>
    <row r="554" spans="1:23">
      <c r="A554" s="223"/>
      <c r="B554" s="1"/>
      <c r="C554" s="1"/>
      <c r="D554" s="1"/>
      <c r="E554" s="1"/>
      <c r="F554" s="1"/>
      <c r="G554" s="1"/>
      <c r="H554" s="1"/>
      <c r="I554" s="1"/>
      <c r="J554" s="1"/>
      <c r="K554" s="1"/>
      <c r="L554" s="1"/>
      <c r="M554" s="1"/>
      <c r="N554" s="1"/>
      <c r="O554" s="1"/>
      <c r="P554" s="1"/>
      <c r="Q554" s="1"/>
      <c r="R554" s="1"/>
      <c r="S554" s="1"/>
      <c r="T554" s="1"/>
      <c r="U554" s="1"/>
      <c r="V554" s="1"/>
      <c r="W554" s="1"/>
    </row>
    <row r="555" spans="1:23">
      <c r="A555" s="223"/>
      <c r="B555" s="1"/>
      <c r="C555" s="1"/>
      <c r="D555" s="1"/>
      <c r="E555" s="1"/>
      <c r="F555" s="1"/>
      <c r="G555" s="1"/>
      <c r="H555" s="1"/>
      <c r="I555" s="1"/>
      <c r="J555" s="1"/>
      <c r="K555" s="1"/>
      <c r="L555" s="1"/>
      <c r="M555" s="1"/>
      <c r="N555" s="1"/>
      <c r="O555" s="1"/>
      <c r="P555" s="1"/>
      <c r="Q555" s="1"/>
      <c r="R555" s="1"/>
      <c r="S555" s="1"/>
      <c r="T555" s="1"/>
      <c r="U555" s="1"/>
      <c r="V555" s="1"/>
      <c r="W555" s="1"/>
    </row>
    <row r="556" spans="1:23">
      <c r="A556" s="223"/>
      <c r="B556" s="1"/>
      <c r="C556" s="1"/>
      <c r="D556" s="1"/>
      <c r="E556" s="1"/>
      <c r="F556" s="1"/>
      <c r="G556" s="1"/>
      <c r="H556" s="1"/>
      <c r="I556" s="1"/>
      <c r="J556" s="1"/>
      <c r="K556" s="1"/>
      <c r="L556" s="1"/>
      <c r="M556" s="1"/>
      <c r="N556" s="1"/>
      <c r="O556" s="1"/>
      <c r="P556" s="1"/>
      <c r="Q556" s="1"/>
      <c r="R556" s="1"/>
      <c r="S556" s="1"/>
      <c r="T556" s="1"/>
      <c r="U556" s="1"/>
      <c r="V556" s="1"/>
      <c r="W556" s="1"/>
    </row>
    <row r="557" spans="1:23">
      <c r="A557" s="223"/>
      <c r="B557" s="1"/>
      <c r="C557" s="1"/>
      <c r="D557" s="1"/>
      <c r="E557" s="1"/>
      <c r="F557" s="1"/>
      <c r="G557" s="1"/>
      <c r="H557" s="1"/>
      <c r="I557" s="1"/>
      <c r="J557" s="1"/>
      <c r="K557" s="1"/>
      <c r="L557" s="1"/>
      <c r="M557" s="1"/>
      <c r="N557" s="1"/>
      <c r="O557" s="1"/>
      <c r="P557" s="1"/>
      <c r="Q557" s="1"/>
      <c r="R557" s="1"/>
      <c r="S557" s="1"/>
      <c r="T557" s="1"/>
      <c r="U557" s="1"/>
      <c r="V557" s="1"/>
      <c r="W557" s="1"/>
    </row>
    <row r="558" spans="1:23">
      <c r="A558" s="223"/>
      <c r="B558" s="1"/>
      <c r="C558" s="1"/>
      <c r="D558" s="1"/>
      <c r="E558" s="1"/>
      <c r="F558" s="1"/>
      <c r="G558" s="1"/>
      <c r="H558" s="1"/>
      <c r="I558" s="1"/>
      <c r="J558" s="1"/>
      <c r="K558" s="1"/>
      <c r="L558" s="1"/>
      <c r="M558" s="1"/>
      <c r="N558" s="1"/>
      <c r="O558" s="1"/>
      <c r="P558" s="1"/>
      <c r="Q558" s="1"/>
      <c r="R558" s="1"/>
      <c r="S558" s="1"/>
      <c r="T558" s="1"/>
      <c r="U558" s="1"/>
      <c r="V558" s="1"/>
      <c r="W558" s="1"/>
    </row>
    <row r="559" spans="1:23">
      <c r="A559" s="223"/>
      <c r="B559" s="1"/>
      <c r="C559" s="1"/>
      <c r="D559" s="1"/>
      <c r="E559" s="1"/>
      <c r="F559" s="1"/>
      <c r="G559" s="1"/>
      <c r="H559" s="1"/>
      <c r="I559" s="1"/>
      <c r="J559" s="1"/>
      <c r="K559" s="1"/>
      <c r="L559" s="1"/>
      <c r="M559" s="1"/>
      <c r="N559" s="1"/>
      <c r="O559" s="1"/>
      <c r="P559" s="1"/>
      <c r="Q559" s="1"/>
      <c r="R559" s="1"/>
      <c r="S559" s="1"/>
      <c r="T559" s="1"/>
      <c r="U559" s="1"/>
      <c r="V559" s="1"/>
      <c r="W559" s="1"/>
    </row>
    <row r="560" spans="1:23">
      <c r="A560" s="223"/>
      <c r="B560" s="1"/>
      <c r="C560" s="1"/>
      <c r="D560" s="1"/>
      <c r="E560" s="1"/>
      <c r="F560" s="1"/>
      <c r="G560" s="1"/>
      <c r="H560" s="1"/>
      <c r="I560" s="1"/>
      <c r="J560" s="1"/>
      <c r="K560" s="1"/>
      <c r="L560" s="1"/>
      <c r="M560" s="1"/>
      <c r="N560" s="1"/>
      <c r="O560" s="1"/>
      <c r="P560" s="1"/>
      <c r="Q560" s="1"/>
      <c r="R560" s="1"/>
      <c r="S560" s="1"/>
      <c r="T560" s="1"/>
      <c r="U560" s="1"/>
      <c r="V560" s="1"/>
      <c r="W560" s="1"/>
    </row>
    <row r="561" spans="1:23">
      <c r="A561" s="223"/>
      <c r="B561" s="1"/>
      <c r="C561" s="1"/>
      <c r="D561" s="1"/>
      <c r="E561" s="1"/>
      <c r="F561" s="1"/>
      <c r="G561" s="1"/>
      <c r="H561" s="1"/>
      <c r="I561" s="1"/>
      <c r="J561" s="1"/>
      <c r="K561" s="1"/>
      <c r="L561" s="1"/>
      <c r="M561" s="1"/>
      <c r="N561" s="1"/>
      <c r="O561" s="1"/>
      <c r="P561" s="1"/>
      <c r="Q561" s="1"/>
      <c r="R561" s="1"/>
      <c r="S561" s="1"/>
      <c r="T561" s="1"/>
      <c r="U561" s="1"/>
      <c r="V561" s="1"/>
      <c r="W561" s="1"/>
    </row>
    <row r="562" spans="1:23">
      <c r="A562" s="223"/>
      <c r="B562" s="1"/>
      <c r="C562" s="1"/>
      <c r="D562" s="1"/>
      <c r="E562" s="1"/>
      <c r="F562" s="1"/>
      <c r="G562" s="1"/>
      <c r="H562" s="1"/>
      <c r="I562" s="1"/>
      <c r="J562" s="1"/>
      <c r="K562" s="1"/>
      <c r="L562" s="1"/>
      <c r="M562" s="1"/>
      <c r="N562" s="1"/>
      <c r="O562" s="1"/>
      <c r="P562" s="1"/>
      <c r="Q562" s="1"/>
      <c r="R562" s="1"/>
      <c r="S562" s="1"/>
      <c r="T562" s="1"/>
      <c r="U562" s="1"/>
      <c r="V562" s="1"/>
      <c r="W562" s="1"/>
    </row>
    <row r="563" spans="1:23">
      <c r="A563" s="223"/>
      <c r="B563" s="1"/>
      <c r="C563" s="1"/>
      <c r="D563" s="1"/>
      <c r="E563" s="1"/>
      <c r="F563" s="1"/>
      <c r="G563" s="1"/>
      <c r="H563" s="1"/>
      <c r="I563" s="1"/>
      <c r="J563" s="1"/>
      <c r="K563" s="1"/>
      <c r="L563" s="1"/>
      <c r="M563" s="1"/>
      <c r="N563" s="1"/>
      <c r="O563" s="1"/>
      <c r="P563" s="1"/>
      <c r="Q563" s="1"/>
      <c r="R563" s="1"/>
      <c r="S563" s="1"/>
      <c r="T563" s="1"/>
      <c r="U563" s="1"/>
      <c r="V563" s="1"/>
      <c r="W563" s="1"/>
    </row>
    <row r="564" spans="1:23">
      <c r="A564" s="223"/>
      <c r="B564" s="1"/>
      <c r="C564" s="1"/>
      <c r="D564" s="1"/>
      <c r="E564" s="1"/>
      <c r="F564" s="1"/>
      <c r="G564" s="1"/>
      <c r="H564" s="1"/>
      <c r="I564" s="1"/>
      <c r="J564" s="1"/>
      <c r="K564" s="1"/>
      <c r="L564" s="1"/>
      <c r="M564" s="1"/>
      <c r="N564" s="1"/>
      <c r="O564" s="1"/>
      <c r="P564" s="1"/>
      <c r="Q564" s="1"/>
      <c r="R564" s="1"/>
      <c r="S564" s="1"/>
      <c r="T564" s="1"/>
      <c r="U564" s="1"/>
      <c r="V564" s="1"/>
      <c r="W564" s="1"/>
    </row>
    <row r="565" spans="1:23">
      <c r="A565" s="223"/>
      <c r="B565" s="1"/>
      <c r="C565" s="1"/>
      <c r="D565" s="1"/>
      <c r="E565" s="1"/>
      <c r="F565" s="1"/>
      <c r="G565" s="1"/>
      <c r="H565" s="1"/>
      <c r="I565" s="1"/>
      <c r="J565" s="1"/>
      <c r="K565" s="1"/>
      <c r="L565" s="1"/>
      <c r="M565" s="1"/>
      <c r="N565" s="1"/>
      <c r="O565" s="1"/>
      <c r="P565" s="1"/>
      <c r="Q565" s="1"/>
      <c r="R565" s="1"/>
      <c r="S565" s="1"/>
      <c r="T565" s="1"/>
      <c r="U565" s="1"/>
      <c r="V565" s="1"/>
      <c r="W565" s="1"/>
    </row>
    <row r="566" spans="1:23">
      <c r="A566" s="223"/>
      <c r="B566" s="1"/>
      <c r="C566" s="1"/>
      <c r="D566" s="1"/>
      <c r="E566" s="1"/>
      <c r="F566" s="1"/>
      <c r="G566" s="1"/>
      <c r="H566" s="1"/>
      <c r="I566" s="1"/>
      <c r="J566" s="1"/>
      <c r="K566" s="1"/>
      <c r="L566" s="1"/>
      <c r="M566" s="1"/>
      <c r="N566" s="1"/>
      <c r="O566" s="1"/>
      <c r="P566" s="1"/>
      <c r="Q566" s="1"/>
      <c r="R566" s="1"/>
      <c r="S566" s="1"/>
      <c r="T566" s="1"/>
      <c r="U566" s="1"/>
      <c r="V566" s="1"/>
      <c r="W566" s="1"/>
    </row>
    <row r="567" spans="1:23">
      <c r="A567" s="223"/>
      <c r="B567" s="1"/>
      <c r="C567" s="1"/>
      <c r="D567" s="1"/>
      <c r="E567" s="1"/>
      <c r="F567" s="1"/>
      <c r="G567" s="1"/>
      <c r="H567" s="1"/>
      <c r="I567" s="1"/>
      <c r="J567" s="1"/>
      <c r="K567" s="1"/>
      <c r="L567" s="1"/>
      <c r="M567" s="1"/>
      <c r="N567" s="1"/>
      <c r="O567" s="1"/>
      <c r="P567" s="1"/>
      <c r="Q567" s="1"/>
      <c r="R567" s="1"/>
      <c r="S567" s="1"/>
      <c r="T567" s="1"/>
      <c r="U567" s="1"/>
      <c r="V567" s="1"/>
      <c r="W567" s="1"/>
    </row>
    <row r="568" spans="1:23">
      <c r="A568" s="223"/>
      <c r="B568" s="1"/>
      <c r="C568" s="1"/>
      <c r="D568" s="1"/>
      <c r="E568" s="1"/>
      <c r="F568" s="1"/>
      <c r="G568" s="1"/>
      <c r="H568" s="1"/>
      <c r="I568" s="1"/>
      <c r="J568" s="1"/>
      <c r="K568" s="1"/>
      <c r="L568" s="1"/>
      <c r="M568" s="1"/>
      <c r="N568" s="1"/>
      <c r="O568" s="1"/>
      <c r="P568" s="1"/>
      <c r="Q568" s="1"/>
      <c r="R568" s="1"/>
      <c r="S568" s="1"/>
      <c r="T568" s="1"/>
      <c r="U568" s="1"/>
      <c r="V568" s="1"/>
      <c r="W568" s="1"/>
    </row>
    <row r="569" spans="1:23">
      <c r="A569" s="223"/>
      <c r="B569" s="1"/>
      <c r="C569" s="1"/>
      <c r="D569" s="1"/>
      <c r="E569" s="1"/>
      <c r="F569" s="1"/>
      <c r="G569" s="1"/>
      <c r="H569" s="1"/>
      <c r="I569" s="1"/>
      <c r="J569" s="1"/>
      <c r="K569" s="1"/>
      <c r="L569" s="1"/>
      <c r="M569" s="1"/>
      <c r="N569" s="1"/>
      <c r="O569" s="1"/>
      <c r="P569" s="1"/>
      <c r="Q569" s="1"/>
      <c r="R569" s="1"/>
      <c r="S569" s="1"/>
      <c r="T569" s="1"/>
      <c r="U569" s="1"/>
      <c r="V569" s="1"/>
      <c r="W569" s="1"/>
    </row>
    <row r="570" spans="1:23">
      <c r="A570" s="223"/>
      <c r="B570" s="1"/>
      <c r="C570" s="1"/>
      <c r="D570" s="1"/>
      <c r="E570" s="1"/>
      <c r="F570" s="1"/>
      <c r="G570" s="1"/>
      <c r="H570" s="1"/>
      <c r="I570" s="1"/>
      <c r="J570" s="1"/>
      <c r="K570" s="1"/>
      <c r="L570" s="1"/>
      <c r="M570" s="1"/>
      <c r="N570" s="1"/>
      <c r="O570" s="1"/>
      <c r="P570" s="1"/>
      <c r="Q570" s="1"/>
      <c r="R570" s="1"/>
      <c r="S570" s="1"/>
      <c r="T570" s="1"/>
      <c r="U570" s="1"/>
      <c r="V570" s="1"/>
      <c r="W570" s="1"/>
    </row>
    <row r="571" spans="1:23">
      <c r="A571" s="223"/>
      <c r="B571" s="1"/>
      <c r="C571" s="1"/>
      <c r="D571" s="1"/>
      <c r="E571" s="1"/>
      <c r="F571" s="1"/>
      <c r="G571" s="1"/>
      <c r="H571" s="1"/>
      <c r="I571" s="1"/>
      <c r="J571" s="1"/>
      <c r="K571" s="1"/>
      <c r="L571" s="1"/>
      <c r="M571" s="1"/>
      <c r="N571" s="1"/>
      <c r="O571" s="1"/>
      <c r="P571" s="1"/>
      <c r="Q571" s="1"/>
      <c r="R571" s="1"/>
      <c r="S571" s="1"/>
      <c r="T571" s="1"/>
      <c r="U571" s="1"/>
      <c r="V571" s="1"/>
      <c r="W571" s="1"/>
    </row>
    <row r="572" spans="1:23">
      <c r="A572" s="223"/>
      <c r="B572" s="1"/>
      <c r="C572" s="1"/>
      <c r="D572" s="1"/>
      <c r="E572" s="1"/>
      <c r="F572" s="1"/>
      <c r="G572" s="1"/>
      <c r="H572" s="1"/>
      <c r="I572" s="1"/>
      <c r="J572" s="1"/>
      <c r="K572" s="1"/>
      <c r="L572" s="1"/>
      <c r="M572" s="1"/>
      <c r="N572" s="1"/>
      <c r="O572" s="1"/>
      <c r="P572" s="1"/>
      <c r="Q572" s="1"/>
      <c r="R572" s="1"/>
      <c r="S572" s="1"/>
      <c r="T572" s="1"/>
      <c r="U572" s="1"/>
      <c r="V572" s="1"/>
      <c r="W572" s="1"/>
    </row>
    <row r="573" spans="1:23">
      <c r="A573" s="223"/>
      <c r="B573" s="1"/>
      <c r="C573" s="1"/>
      <c r="D573" s="1"/>
      <c r="E573" s="1"/>
      <c r="F573" s="1"/>
      <c r="G573" s="1"/>
      <c r="H573" s="1"/>
      <c r="I573" s="1"/>
      <c r="J573" s="1"/>
      <c r="K573" s="1"/>
      <c r="L573" s="1"/>
      <c r="M573" s="1"/>
      <c r="N573" s="1"/>
      <c r="O573" s="1"/>
      <c r="P573" s="1"/>
      <c r="Q573" s="1"/>
      <c r="R573" s="1"/>
      <c r="S573" s="1"/>
      <c r="T573" s="1"/>
      <c r="U573" s="1"/>
      <c r="V573" s="1"/>
      <c r="W573" s="1"/>
    </row>
    <row r="574" spans="1:23">
      <c r="A574" s="223"/>
      <c r="B574" s="1"/>
      <c r="C574" s="1"/>
      <c r="D574" s="1"/>
      <c r="E574" s="1"/>
      <c r="F574" s="1"/>
      <c r="G574" s="1"/>
      <c r="H574" s="1"/>
      <c r="I574" s="1"/>
      <c r="J574" s="1"/>
      <c r="K574" s="1"/>
      <c r="L574" s="1"/>
      <c r="M574" s="1"/>
      <c r="N574" s="1"/>
      <c r="O574" s="1"/>
      <c r="P574" s="1"/>
      <c r="Q574" s="1"/>
      <c r="R574" s="1"/>
      <c r="S574" s="1"/>
      <c r="T574" s="1"/>
      <c r="U574" s="1"/>
      <c r="V574" s="1"/>
      <c r="W574" s="1"/>
    </row>
    <row r="575" spans="1:23">
      <c r="A575" s="223"/>
      <c r="B575" s="1"/>
      <c r="C575" s="1"/>
      <c r="D575" s="1"/>
      <c r="E575" s="1"/>
      <c r="F575" s="1"/>
      <c r="G575" s="1"/>
      <c r="H575" s="1"/>
      <c r="I575" s="1"/>
      <c r="J575" s="1"/>
      <c r="K575" s="1"/>
      <c r="L575" s="1"/>
      <c r="M575" s="1"/>
      <c r="N575" s="1"/>
      <c r="O575" s="1"/>
      <c r="P575" s="1"/>
      <c r="Q575" s="1"/>
      <c r="R575" s="1"/>
      <c r="S575" s="1"/>
      <c r="T575" s="1"/>
      <c r="U575" s="1"/>
      <c r="V575" s="1"/>
      <c r="W575" s="1"/>
    </row>
    <row r="576" spans="1:23">
      <c r="A576" s="223"/>
      <c r="B576" s="1"/>
      <c r="C576" s="1"/>
      <c r="D576" s="1"/>
      <c r="E576" s="1"/>
      <c r="F576" s="1"/>
      <c r="G576" s="1"/>
      <c r="H576" s="1"/>
      <c r="I576" s="1"/>
      <c r="J576" s="1"/>
      <c r="K576" s="1"/>
      <c r="L576" s="1"/>
      <c r="M576" s="1"/>
      <c r="N576" s="1"/>
      <c r="O576" s="1"/>
      <c r="P576" s="1"/>
      <c r="Q576" s="1"/>
      <c r="R576" s="1"/>
      <c r="S576" s="1"/>
      <c r="T576" s="1"/>
      <c r="U576" s="1"/>
      <c r="V576" s="1"/>
      <c r="W576" s="1"/>
    </row>
    <row r="577" spans="1:23">
      <c r="A577" s="223"/>
      <c r="B577" s="1"/>
      <c r="C577" s="1"/>
      <c r="D577" s="1"/>
      <c r="E577" s="1"/>
      <c r="F577" s="1"/>
      <c r="G577" s="1"/>
      <c r="H577" s="1"/>
      <c r="I577" s="1"/>
      <c r="J577" s="1"/>
      <c r="K577" s="1"/>
      <c r="L577" s="1"/>
      <c r="M577" s="1"/>
      <c r="N577" s="1"/>
      <c r="O577" s="1"/>
      <c r="P577" s="1"/>
      <c r="Q577" s="1"/>
      <c r="R577" s="1"/>
      <c r="S577" s="1"/>
      <c r="T577" s="1"/>
      <c r="U577" s="1"/>
      <c r="V577" s="1"/>
      <c r="W577" s="1"/>
    </row>
    <row r="578" spans="1:23">
      <c r="A578" s="223"/>
      <c r="B578" s="1"/>
      <c r="C578" s="1"/>
      <c r="D578" s="1"/>
      <c r="E578" s="1"/>
      <c r="F578" s="1"/>
      <c r="G578" s="1"/>
      <c r="H578" s="1"/>
      <c r="I578" s="1"/>
      <c r="J578" s="1"/>
      <c r="K578" s="1"/>
      <c r="L578" s="1"/>
      <c r="M578" s="1"/>
      <c r="N578" s="1"/>
      <c r="O578" s="1"/>
      <c r="P578" s="1"/>
      <c r="Q578" s="1"/>
      <c r="R578" s="1"/>
      <c r="S578" s="1"/>
      <c r="T578" s="1"/>
      <c r="U578" s="1"/>
      <c r="V578" s="1"/>
      <c r="W578" s="1"/>
    </row>
    <row r="579" spans="1:23">
      <c r="A579" s="223"/>
      <c r="B579" s="1"/>
      <c r="C579" s="1"/>
      <c r="D579" s="1"/>
      <c r="E579" s="1"/>
      <c r="F579" s="1"/>
      <c r="G579" s="1"/>
      <c r="H579" s="1"/>
      <c r="I579" s="1"/>
      <c r="J579" s="1"/>
      <c r="K579" s="1"/>
      <c r="L579" s="1"/>
      <c r="M579" s="1"/>
      <c r="N579" s="1"/>
      <c r="O579" s="1"/>
      <c r="P579" s="1"/>
      <c r="Q579" s="1"/>
      <c r="R579" s="1"/>
      <c r="S579" s="1"/>
      <c r="T579" s="1"/>
      <c r="U579" s="1"/>
      <c r="V579" s="1"/>
      <c r="W579" s="1"/>
    </row>
    <row r="580" spans="1:23">
      <c r="A580" s="223"/>
      <c r="B580" s="1"/>
      <c r="C580" s="1"/>
      <c r="D580" s="1"/>
      <c r="E580" s="1"/>
      <c r="F580" s="1"/>
      <c r="G580" s="1"/>
      <c r="H580" s="1"/>
      <c r="I580" s="1"/>
      <c r="J580" s="1"/>
      <c r="K580" s="1"/>
      <c r="L580" s="1"/>
      <c r="M580" s="1"/>
      <c r="N580" s="1"/>
      <c r="O580" s="1"/>
      <c r="P580" s="1"/>
      <c r="Q580" s="1"/>
      <c r="R580" s="1"/>
      <c r="S580" s="1"/>
      <c r="T580" s="1"/>
      <c r="U580" s="1"/>
      <c r="V580" s="1"/>
      <c r="W580" s="1"/>
    </row>
    <row r="581" spans="1:23">
      <c r="A581" s="223"/>
      <c r="B581" s="1"/>
      <c r="C581" s="1"/>
      <c r="D581" s="1"/>
      <c r="E581" s="1"/>
      <c r="F581" s="1"/>
      <c r="G581" s="1"/>
      <c r="H581" s="1"/>
      <c r="I581" s="1"/>
      <c r="J581" s="1"/>
      <c r="K581" s="1"/>
      <c r="L581" s="1"/>
      <c r="M581" s="1"/>
      <c r="N581" s="1"/>
      <c r="O581" s="1"/>
      <c r="P581" s="1"/>
      <c r="Q581" s="1"/>
      <c r="R581" s="1"/>
      <c r="S581" s="1"/>
      <c r="T581" s="1"/>
      <c r="U581" s="1"/>
      <c r="V581" s="1"/>
      <c r="W581" s="1"/>
    </row>
    <row r="582" spans="1:23">
      <c r="A582" s="223"/>
      <c r="B582" s="1"/>
      <c r="C582" s="1"/>
      <c r="D582" s="1"/>
      <c r="E582" s="1"/>
      <c r="F582" s="1"/>
      <c r="G582" s="1"/>
      <c r="H582" s="1"/>
      <c r="I582" s="1"/>
      <c r="J582" s="1"/>
      <c r="K582" s="1"/>
      <c r="L582" s="1"/>
      <c r="M582" s="1"/>
      <c r="N582" s="1"/>
      <c r="O582" s="1"/>
      <c r="P582" s="1"/>
      <c r="Q582" s="1"/>
      <c r="R582" s="1"/>
      <c r="S582" s="1"/>
      <c r="T582" s="1"/>
      <c r="U582" s="1"/>
      <c r="V582" s="1"/>
      <c r="W582" s="1"/>
    </row>
    <row r="583" spans="1:23">
      <c r="A583" s="223"/>
      <c r="B583" s="1"/>
      <c r="C583" s="1"/>
      <c r="D583" s="1"/>
      <c r="E583" s="1"/>
      <c r="F583" s="1"/>
      <c r="G583" s="1"/>
      <c r="H583" s="1"/>
      <c r="I583" s="1"/>
      <c r="J583" s="1"/>
      <c r="K583" s="1"/>
      <c r="L583" s="1"/>
      <c r="M583" s="1"/>
      <c r="N583" s="1"/>
      <c r="O583" s="1"/>
      <c r="P583" s="1"/>
      <c r="Q583" s="1"/>
      <c r="R583" s="1"/>
      <c r="S583" s="1"/>
      <c r="T583" s="1"/>
      <c r="U583" s="1"/>
      <c r="V583" s="1"/>
      <c r="W583" s="1"/>
    </row>
    <row r="584" spans="1:23">
      <c r="A584" s="223"/>
      <c r="B584" s="1"/>
      <c r="C584" s="1"/>
      <c r="D584" s="1"/>
      <c r="E584" s="1"/>
      <c r="F584" s="1"/>
      <c r="G584" s="1"/>
      <c r="H584" s="1"/>
      <c r="I584" s="1"/>
      <c r="J584" s="1"/>
      <c r="K584" s="1"/>
      <c r="L584" s="1"/>
      <c r="M584" s="1"/>
      <c r="N584" s="1"/>
      <c r="O584" s="1"/>
      <c r="P584" s="1"/>
      <c r="Q584" s="1"/>
      <c r="R584" s="1"/>
      <c r="S584" s="1"/>
      <c r="T584" s="1"/>
      <c r="U584" s="1"/>
      <c r="V584" s="1"/>
      <c r="W584" s="1"/>
    </row>
    <row r="585" spans="1:23">
      <c r="A585" s="223"/>
      <c r="B585" s="1"/>
      <c r="C585" s="1"/>
      <c r="D585" s="1"/>
      <c r="E585" s="1"/>
      <c r="F585" s="1"/>
      <c r="G585" s="1"/>
      <c r="H585" s="1"/>
      <c r="I585" s="1"/>
      <c r="J585" s="1"/>
      <c r="K585" s="1"/>
      <c r="L585" s="1"/>
      <c r="M585" s="1"/>
      <c r="N585" s="1"/>
      <c r="O585" s="1"/>
      <c r="P585" s="1"/>
      <c r="Q585" s="1"/>
      <c r="R585" s="1"/>
      <c r="S585" s="1"/>
      <c r="T585" s="1"/>
      <c r="U585" s="1"/>
      <c r="V585" s="1"/>
      <c r="W585" s="1"/>
    </row>
    <row r="586" spans="1:23">
      <c r="A586" s="223"/>
      <c r="B586" s="1"/>
      <c r="C586" s="1"/>
      <c r="D586" s="1"/>
      <c r="E586" s="1"/>
      <c r="F586" s="1"/>
      <c r="G586" s="1"/>
      <c r="H586" s="1"/>
      <c r="I586" s="1"/>
      <c r="J586" s="1"/>
      <c r="K586" s="1"/>
      <c r="L586" s="1"/>
      <c r="M586" s="1"/>
      <c r="N586" s="1"/>
      <c r="O586" s="1"/>
      <c r="P586" s="1"/>
      <c r="Q586" s="1"/>
      <c r="R586" s="1"/>
      <c r="S586" s="1"/>
      <c r="T586" s="1"/>
      <c r="U586" s="1"/>
      <c r="V586" s="1"/>
      <c r="W586" s="1"/>
    </row>
    <row r="587" spans="1:23">
      <c r="A587" s="223"/>
      <c r="B587" s="1"/>
      <c r="C587" s="1"/>
      <c r="D587" s="1"/>
      <c r="E587" s="1"/>
      <c r="F587" s="1"/>
      <c r="G587" s="1"/>
      <c r="H587" s="1"/>
      <c r="I587" s="1"/>
      <c r="J587" s="1"/>
      <c r="K587" s="1"/>
      <c r="L587" s="1"/>
      <c r="M587" s="1"/>
      <c r="N587" s="1"/>
      <c r="O587" s="1"/>
      <c r="P587" s="1"/>
      <c r="Q587" s="1"/>
      <c r="R587" s="1"/>
      <c r="S587" s="1"/>
      <c r="T587" s="1"/>
      <c r="U587" s="1"/>
      <c r="V587" s="1"/>
      <c r="W587" s="1"/>
    </row>
    <row r="588" spans="1:23">
      <c r="A588" s="223"/>
      <c r="B588" s="1"/>
      <c r="C588" s="1"/>
      <c r="D588" s="1"/>
      <c r="E588" s="1"/>
      <c r="F588" s="1"/>
      <c r="G588" s="1"/>
      <c r="H588" s="1"/>
      <c r="I588" s="1"/>
      <c r="J588" s="1"/>
      <c r="K588" s="1"/>
      <c r="L588" s="1"/>
      <c r="M588" s="1"/>
      <c r="N588" s="1"/>
      <c r="O588" s="1"/>
      <c r="P588" s="1"/>
      <c r="Q588" s="1"/>
      <c r="R588" s="1"/>
      <c r="S588" s="1"/>
      <c r="T588" s="1"/>
      <c r="U588" s="1"/>
      <c r="V588" s="1"/>
      <c r="W588" s="1"/>
    </row>
    <row r="589" spans="1:23">
      <c r="A589" s="223"/>
      <c r="B589" s="1"/>
      <c r="C589" s="1"/>
      <c r="D589" s="1"/>
      <c r="E589" s="1"/>
      <c r="F589" s="1"/>
      <c r="G589" s="1"/>
      <c r="H589" s="1"/>
      <c r="I589" s="1"/>
      <c r="J589" s="1"/>
      <c r="K589" s="1"/>
      <c r="L589" s="1"/>
      <c r="M589" s="1"/>
      <c r="N589" s="1"/>
      <c r="O589" s="1"/>
      <c r="P589" s="1"/>
      <c r="Q589" s="1"/>
      <c r="R589" s="1"/>
      <c r="S589" s="1"/>
      <c r="T589" s="1"/>
      <c r="U589" s="1"/>
      <c r="V589" s="1"/>
      <c r="W589" s="1"/>
    </row>
    <row r="590" spans="1:23">
      <c r="A590" s="223"/>
      <c r="B590" s="1"/>
      <c r="C590" s="1"/>
      <c r="D590" s="1"/>
      <c r="E590" s="1"/>
      <c r="F590" s="1"/>
      <c r="G590" s="1"/>
      <c r="H590" s="1"/>
      <c r="I590" s="1"/>
      <c r="J590" s="1"/>
      <c r="K590" s="1"/>
      <c r="L590" s="1"/>
      <c r="M590" s="1"/>
      <c r="N590" s="1"/>
      <c r="O590" s="1"/>
      <c r="P590" s="1"/>
      <c r="Q590" s="1"/>
      <c r="R590" s="1"/>
      <c r="S590" s="1"/>
      <c r="T590" s="1"/>
      <c r="U590" s="1"/>
      <c r="V590" s="1"/>
      <c r="W590" s="1"/>
    </row>
    <row r="591" spans="1:23">
      <c r="A591" s="223"/>
      <c r="B591" s="1"/>
      <c r="C591" s="1"/>
      <c r="D591" s="1"/>
      <c r="E591" s="1"/>
      <c r="F591" s="1"/>
      <c r="G591" s="1"/>
      <c r="H591" s="1"/>
      <c r="I591" s="1"/>
      <c r="J591" s="1"/>
      <c r="K591" s="1"/>
      <c r="L591" s="1"/>
      <c r="M591" s="1"/>
      <c r="N591" s="1"/>
      <c r="O591" s="1"/>
      <c r="P591" s="1"/>
      <c r="Q591" s="1"/>
      <c r="R591" s="1"/>
      <c r="S591" s="1"/>
      <c r="T591" s="1"/>
      <c r="U591" s="1"/>
      <c r="V591" s="1"/>
      <c r="W591" s="1"/>
    </row>
    <row r="592" spans="1:23">
      <c r="A592" s="223"/>
      <c r="B592" s="1"/>
      <c r="C592" s="1"/>
      <c r="D592" s="1"/>
      <c r="E592" s="1"/>
      <c r="F592" s="1"/>
      <c r="G592" s="1"/>
      <c r="H592" s="1"/>
      <c r="I592" s="1"/>
      <c r="J592" s="1"/>
      <c r="K592" s="1"/>
      <c r="L592" s="1"/>
      <c r="M592" s="1"/>
      <c r="N592" s="1"/>
      <c r="O592" s="1"/>
      <c r="P592" s="1"/>
      <c r="Q592" s="1"/>
      <c r="R592" s="1"/>
      <c r="S592" s="1"/>
      <c r="T592" s="1"/>
      <c r="U592" s="1"/>
      <c r="V592" s="1"/>
      <c r="W592" s="1"/>
    </row>
    <row r="593" spans="1:23">
      <c r="A593" s="223"/>
      <c r="B593" s="1"/>
      <c r="C593" s="1"/>
      <c r="D593" s="1"/>
      <c r="E593" s="1"/>
      <c r="F593" s="1"/>
      <c r="G593" s="1"/>
      <c r="H593" s="1"/>
      <c r="I593" s="1"/>
      <c r="J593" s="1"/>
      <c r="K593" s="1"/>
      <c r="L593" s="1"/>
      <c r="M593" s="1"/>
      <c r="N593" s="1"/>
      <c r="O593" s="1"/>
      <c r="P593" s="1"/>
      <c r="Q593" s="1"/>
      <c r="R593" s="1"/>
      <c r="S593" s="1"/>
      <c r="T593" s="1"/>
      <c r="U593" s="1"/>
      <c r="V593" s="1"/>
      <c r="W593" s="1"/>
    </row>
    <row r="594" spans="1:23">
      <c r="A594" s="223"/>
      <c r="B594" s="1"/>
      <c r="C594" s="1"/>
      <c r="D594" s="1"/>
      <c r="E594" s="1"/>
      <c r="F594" s="1"/>
      <c r="G594" s="1"/>
      <c r="H594" s="1"/>
      <c r="I594" s="1"/>
      <c r="J594" s="1"/>
      <c r="K594" s="1"/>
      <c r="L594" s="1"/>
      <c r="M594" s="1"/>
      <c r="N594" s="1"/>
      <c r="O594" s="1"/>
      <c r="P594" s="1"/>
      <c r="Q594" s="1"/>
      <c r="R594" s="1"/>
      <c r="S594" s="1"/>
      <c r="T594" s="1"/>
      <c r="U594" s="1"/>
      <c r="V594" s="1"/>
      <c r="W594" s="1"/>
    </row>
    <row r="595" spans="1:23">
      <c r="A595" s="223"/>
      <c r="B595" s="1"/>
      <c r="C595" s="1"/>
      <c r="D595" s="1"/>
      <c r="E595" s="1"/>
      <c r="F595" s="1"/>
      <c r="G595" s="1"/>
      <c r="H595" s="1"/>
      <c r="I595" s="1"/>
      <c r="J595" s="1"/>
      <c r="K595" s="1"/>
      <c r="L595" s="1"/>
      <c r="M595" s="1"/>
      <c r="N595" s="1"/>
      <c r="O595" s="1"/>
      <c r="P595" s="1"/>
      <c r="Q595" s="1"/>
      <c r="R595" s="1"/>
      <c r="S595" s="1"/>
      <c r="T595" s="1"/>
      <c r="U595" s="1"/>
      <c r="V595" s="1"/>
      <c r="W595" s="1"/>
    </row>
    <row r="596" spans="1:23">
      <c r="A596" s="223"/>
      <c r="B596" s="1"/>
      <c r="C596" s="1"/>
      <c r="D596" s="1"/>
      <c r="E596" s="1"/>
      <c r="F596" s="1"/>
      <c r="G596" s="1"/>
      <c r="H596" s="1"/>
      <c r="I596" s="1"/>
      <c r="J596" s="1"/>
      <c r="K596" s="1"/>
      <c r="L596" s="1"/>
      <c r="M596" s="1"/>
      <c r="N596" s="1"/>
      <c r="O596" s="1"/>
      <c r="P596" s="1"/>
      <c r="Q596" s="1"/>
      <c r="R596" s="1"/>
      <c r="S596" s="1"/>
      <c r="T596" s="1"/>
      <c r="U596" s="1"/>
      <c r="V596" s="1"/>
      <c r="W596" s="1"/>
    </row>
    <row r="597" spans="1:23">
      <c r="A597" s="223"/>
      <c r="B597" s="1"/>
      <c r="C597" s="1"/>
      <c r="D597" s="1"/>
      <c r="E597" s="1"/>
      <c r="F597" s="1"/>
      <c r="G597" s="1"/>
      <c r="H597" s="1"/>
      <c r="I597" s="1"/>
      <c r="J597" s="1"/>
      <c r="K597" s="1"/>
      <c r="L597" s="1"/>
      <c r="M597" s="1"/>
      <c r="N597" s="1"/>
      <c r="O597" s="1"/>
      <c r="P597" s="1"/>
      <c r="Q597" s="1"/>
      <c r="R597" s="1"/>
      <c r="S597" s="1"/>
      <c r="T597" s="1"/>
      <c r="U597" s="1"/>
      <c r="V597" s="1"/>
      <c r="W597" s="1"/>
    </row>
    <row r="598" spans="1:23">
      <c r="A598" s="223"/>
      <c r="B598" s="1"/>
      <c r="C598" s="1"/>
      <c r="D598" s="1"/>
      <c r="E598" s="1"/>
      <c r="F598" s="1"/>
      <c r="G598" s="1"/>
      <c r="H598" s="1"/>
      <c r="I598" s="1"/>
      <c r="J598" s="1"/>
      <c r="K598" s="1"/>
      <c r="L598" s="1"/>
      <c r="M598" s="1"/>
      <c r="N598" s="1"/>
      <c r="O598" s="1"/>
      <c r="P598" s="1"/>
      <c r="Q598" s="1"/>
      <c r="R598" s="1"/>
      <c r="S598" s="1"/>
      <c r="T598" s="1"/>
      <c r="U598" s="1"/>
      <c r="V598" s="1"/>
      <c r="W598" s="1"/>
    </row>
    <row r="599" spans="1:23">
      <c r="A599" s="223"/>
      <c r="B599" s="1"/>
      <c r="C599" s="1"/>
      <c r="D599" s="1"/>
      <c r="E599" s="1"/>
      <c r="F599" s="1"/>
      <c r="G599" s="1"/>
      <c r="H599" s="1"/>
      <c r="I599" s="1"/>
      <c r="J599" s="1"/>
      <c r="K599" s="1"/>
      <c r="L599" s="1"/>
      <c r="M599" s="1"/>
      <c r="N599" s="1"/>
      <c r="O599" s="1"/>
      <c r="P599" s="1"/>
      <c r="Q599" s="1"/>
      <c r="R599" s="1"/>
      <c r="S599" s="1"/>
      <c r="T599" s="1"/>
      <c r="U599" s="1"/>
      <c r="V599" s="1"/>
      <c r="W599" s="1"/>
    </row>
    <row r="600" spans="1:23">
      <c r="A600" s="223"/>
      <c r="B600" s="1"/>
      <c r="C600" s="1"/>
      <c r="D600" s="1"/>
      <c r="E600" s="1"/>
      <c r="F600" s="1"/>
      <c r="G600" s="1"/>
      <c r="H600" s="1"/>
      <c r="I600" s="1"/>
      <c r="J600" s="1"/>
      <c r="K600" s="1"/>
      <c r="L600" s="1"/>
      <c r="M600" s="1"/>
      <c r="N600" s="1"/>
      <c r="O600" s="1"/>
      <c r="P600" s="1"/>
      <c r="Q600" s="1"/>
      <c r="R600" s="1"/>
      <c r="S600" s="1"/>
      <c r="T600" s="1"/>
      <c r="U600" s="1"/>
      <c r="V600" s="1"/>
      <c r="W600" s="1"/>
    </row>
    <row r="601" spans="1:23">
      <c r="A601" s="223"/>
      <c r="B601" s="1"/>
      <c r="C601" s="1"/>
      <c r="D601" s="1"/>
      <c r="E601" s="1"/>
      <c r="F601" s="1"/>
      <c r="G601" s="1"/>
      <c r="H601" s="1"/>
      <c r="I601" s="1"/>
      <c r="J601" s="1"/>
      <c r="K601" s="1"/>
      <c r="L601" s="1"/>
      <c r="M601" s="1"/>
      <c r="N601" s="1"/>
      <c r="O601" s="1"/>
      <c r="P601" s="1"/>
      <c r="Q601" s="1"/>
      <c r="R601" s="1"/>
      <c r="S601" s="1"/>
      <c r="T601" s="1"/>
      <c r="U601" s="1"/>
      <c r="V601" s="1"/>
      <c r="W601" s="1"/>
    </row>
    <row r="602" spans="1:23">
      <c r="A602" s="223"/>
      <c r="B602" s="1"/>
      <c r="C602" s="1"/>
      <c r="D602" s="1"/>
      <c r="E602" s="1"/>
      <c r="F602" s="1"/>
      <c r="G602" s="1"/>
      <c r="H602" s="1"/>
      <c r="I602" s="1"/>
      <c r="J602" s="1"/>
      <c r="K602" s="1"/>
      <c r="L602" s="1"/>
      <c r="M602" s="1"/>
      <c r="N602" s="1"/>
      <c r="O602" s="1"/>
      <c r="P602" s="1"/>
      <c r="Q602" s="1"/>
      <c r="R602" s="1"/>
      <c r="S602" s="1"/>
      <c r="T602" s="1"/>
      <c r="U602" s="1"/>
      <c r="V602" s="1"/>
      <c r="W602" s="1"/>
    </row>
    <row r="603" spans="1:23">
      <c r="A603" s="223"/>
      <c r="B603" s="1"/>
      <c r="C603" s="1"/>
      <c r="D603" s="1"/>
      <c r="E603" s="1"/>
      <c r="F603" s="1"/>
      <c r="G603" s="1"/>
      <c r="H603" s="1"/>
      <c r="I603" s="1"/>
      <c r="J603" s="1"/>
      <c r="K603" s="1"/>
      <c r="L603" s="1"/>
      <c r="M603" s="1"/>
      <c r="N603" s="1"/>
      <c r="O603" s="1"/>
      <c r="P603" s="1"/>
      <c r="Q603" s="1"/>
      <c r="R603" s="1"/>
      <c r="S603" s="1"/>
      <c r="T603" s="1"/>
      <c r="U603" s="1"/>
      <c r="V603" s="1"/>
      <c r="W603" s="1"/>
    </row>
    <row r="604" spans="1:23">
      <c r="A604" s="223"/>
      <c r="B604" s="1"/>
      <c r="C604" s="1"/>
      <c r="D604" s="1"/>
      <c r="E604" s="1"/>
      <c r="F604" s="1"/>
      <c r="G604" s="1"/>
      <c r="H604" s="1"/>
      <c r="I604" s="1"/>
      <c r="J604" s="1"/>
      <c r="K604" s="1"/>
      <c r="L604" s="1"/>
      <c r="M604" s="1"/>
      <c r="N604" s="1"/>
      <c r="O604" s="1"/>
      <c r="P604" s="1"/>
      <c r="Q604" s="1"/>
      <c r="R604" s="1"/>
      <c r="S604" s="1"/>
      <c r="T604" s="1"/>
      <c r="U604" s="1"/>
      <c r="V604" s="1"/>
      <c r="W604" s="1"/>
    </row>
    <row r="605" spans="1:23">
      <c r="A605" s="223"/>
      <c r="B605" s="1"/>
      <c r="C605" s="1"/>
      <c r="D605" s="1"/>
      <c r="E605" s="1"/>
      <c r="F605" s="1"/>
      <c r="G605" s="1"/>
      <c r="H605" s="1"/>
      <c r="I605" s="1"/>
      <c r="J605" s="1"/>
      <c r="K605" s="1"/>
      <c r="L605" s="1"/>
      <c r="M605" s="1"/>
      <c r="N605" s="1"/>
      <c r="O605" s="1"/>
      <c r="P605" s="1"/>
      <c r="Q605" s="1"/>
      <c r="R605" s="1"/>
      <c r="S605" s="1"/>
      <c r="T605" s="1"/>
      <c r="U605" s="1"/>
      <c r="V605" s="1"/>
      <c r="W605" s="1"/>
    </row>
    <row r="606" spans="1:23">
      <c r="A606" s="223"/>
      <c r="B606" s="1"/>
      <c r="C606" s="1"/>
      <c r="D606" s="1"/>
      <c r="E606" s="1"/>
      <c r="F606" s="1"/>
      <c r="G606" s="1"/>
      <c r="H606" s="1"/>
      <c r="I606" s="1"/>
      <c r="J606" s="1"/>
      <c r="K606" s="1"/>
      <c r="L606" s="1"/>
      <c r="M606" s="1"/>
      <c r="N606" s="1"/>
      <c r="O606" s="1"/>
      <c r="P606" s="1"/>
      <c r="Q606" s="1"/>
      <c r="R606" s="1"/>
      <c r="S606" s="1"/>
      <c r="T606" s="1"/>
      <c r="U606" s="1"/>
      <c r="V606" s="1"/>
      <c r="W606" s="1"/>
    </row>
    <row r="607" spans="1:23">
      <c r="A607" s="223"/>
      <c r="B607" s="1"/>
      <c r="C607" s="1"/>
      <c r="D607" s="1"/>
      <c r="E607" s="1"/>
      <c r="F607" s="1"/>
      <c r="G607" s="1"/>
      <c r="H607" s="1"/>
      <c r="I607" s="1"/>
      <c r="J607" s="1"/>
      <c r="K607" s="1"/>
      <c r="L607" s="1"/>
      <c r="M607" s="1"/>
      <c r="N607" s="1"/>
      <c r="O607" s="1"/>
      <c r="P607" s="1"/>
      <c r="Q607" s="1"/>
      <c r="R607" s="1"/>
      <c r="S607" s="1"/>
      <c r="T607" s="1"/>
      <c r="U607" s="1"/>
      <c r="V607" s="1"/>
      <c r="W607" s="1"/>
    </row>
    <row r="608" spans="1:23">
      <c r="A608" s="223"/>
      <c r="B608" s="1"/>
      <c r="C608" s="1"/>
      <c r="D608" s="1"/>
      <c r="E608" s="1"/>
      <c r="F608" s="1"/>
      <c r="G608" s="1"/>
      <c r="H608" s="1"/>
      <c r="I608" s="1"/>
      <c r="J608" s="1"/>
      <c r="K608" s="1"/>
      <c r="L608" s="1"/>
      <c r="M608" s="1"/>
      <c r="N608" s="1"/>
      <c r="O608" s="1"/>
      <c r="P608" s="1"/>
      <c r="Q608" s="1"/>
      <c r="R608" s="1"/>
      <c r="S608" s="1"/>
      <c r="T608" s="1"/>
      <c r="U608" s="1"/>
      <c r="V608" s="1"/>
      <c r="W608" s="1"/>
    </row>
    <row r="609" spans="1:23">
      <c r="A609" s="223"/>
      <c r="B609" s="1"/>
      <c r="C609" s="1"/>
      <c r="D609" s="1"/>
      <c r="E609" s="1"/>
      <c r="F609" s="1"/>
      <c r="G609" s="1"/>
      <c r="H609" s="1"/>
      <c r="I609" s="1"/>
      <c r="J609" s="1"/>
      <c r="K609" s="1"/>
      <c r="L609" s="1"/>
      <c r="M609" s="1"/>
      <c r="N609" s="1"/>
      <c r="O609" s="1"/>
      <c r="P609" s="1"/>
      <c r="Q609" s="1"/>
      <c r="R609" s="1"/>
      <c r="S609" s="1"/>
      <c r="T609" s="1"/>
      <c r="U609" s="1"/>
      <c r="V609" s="1"/>
      <c r="W609" s="1"/>
    </row>
    <row r="610" spans="1:23">
      <c r="A610" s="223"/>
      <c r="B610" s="1"/>
      <c r="C610" s="1"/>
      <c r="D610" s="1"/>
      <c r="E610" s="1"/>
      <c r="F610" s="1"/>
      <c r="G610" s="1"/>
      <c r="H610" s="1"/>
      <c r="I610" s="1"/>
      <c r="J610" s="1"/>
      <c r="K610" s="1"/>
      <c r="L610" s="1"/>
      <c r="M610" s="1"/>
      <c r="N610" s="1"/>
      <c r="O610" s="1"/>
      <c r="P610" s="1"/>
      <c r="Q610" s="1"/>
      <c r="R610" s="1"/>
      <c r="S610" s="1"/>
      <c r="T610" s="1"/>
      <c r="U610" s="1"/>
      <c r="V610" s="1"/>
      <c r="W610" s="1"/>
    </row>
    <row r="611" spans="1:23">
      <c r="A611" s="223"/>
      <c r="B611" s="1"/>
      <c r="C611" s="1"/>
      <c r="D611" s="1"/>
      <c r="E611" s="1"/>
      <c r="F611" s="1"/>
      <c r="G611" s="1"/>
      <c r="H611" s="1"/>
      <c r="I611" s="1"/>
      <c r="J611" s="1"/>
      <c r="K611" s="1"/>
      <c r="L611" s="1"/>
      <c r="M611" s="1"/>
      <c r="N611" s="1"/>
      <c r="O611" s="1"/>
      <c r="P611" s="1"/>
      <c r="Q611" s="1"/>
      <c r="R611" s="1"/>
      <c r="S611" s="1"/>
      <c r="T611" s="1"/>
      <c r="U611" s="1"/>
      <c r="V611" s="1"/>
      <c r="W611" s="1"/>
    </row>
    <row r="612" spans="1:23">
      <c r="A612" s="223"/>
      <c r="B612" s="1"/>
      <c r="C612" s="1"/>
      <c r="D612" s="1"/>
      <c r="E612" s="1"/>
      <c r="F612" s="1"/>
      <c r="G612" s="1"/>
      <c r="H612" s="1"/>
      <c r="I612" s="1"/>
      <c r="J612" s="1"/>
      <c r="K612" s="1"/>
      <c r="L612" s="1"/>
      <c r="M612" s="1"/>
      <c r="N612" s="1"/>
      <c r="O612" s="1"/>
      <c r="P612" s="1"/>
      <c r="Q612" s="1"/>
      <c r="R612" s="1"/>
      <c r="S612" s="1"/>
      <c r="T612" s="1"/>
      <c r="U612" s="1"/>
      <c r="V612" s="1"/>
      <c r="W612" s="1"/>
    </row>
    <row r="613" spans="1:23">
      <c r="A613" s="223"/>
      <c r="B613" s="1"/>
      <c r="C613" s="1"/>
      <c r="D613" s="1"/>
      <c r="E613" s="1"/>
      <c r="F613" s="1"/>
      <c r="G613" s="1"/>
      <c r="H613" s="1"/>
      <c r="I613" s="1"/>
      <c r="J613" s="1"/>
      <c r="K613" s="1"/>
      <c r="L613" s="1"/>
      <c r="M613" s="1"/>
      <c r="N613" s="1"/>
      <c r="O613" s="1"/>
      <c r="P613" s="1"/>
      <c r="Q613" s="1"/>
      <c r="R613" s="1"/>
      <c r="S613" s="1"/>
      <c r="T613" s="1"/>
      <c r="U613" s="1"/>
      <c r="V613" s="1"/>
      <c r="W613" s="1"/>
    </row>
    <row r="614" spans="1:23">
      <c r="A614" s="223"/>
      <c r="B614" s="1"/>
      <c r="C614" s="1"/>
      <c r="D614" s="1"/>
      <c r="E614" s="1"/>
      <c r="F614" s="1"/>
      <c r="G614" s="1"/>
      <c r="H614" s="1"/>
      <c r="I614" s="1"/>
      <c r="J614" s="1"/>
      <c r="K614" s="1"/>
      <c r="L614" s="1"/>
      <c r="M614" s="1"/>
      <c r="N614" s="1"/>
      <c r="O614" s="1"/>
      <c r="P614" s="1"/>
      <c r="Q614" s="1"/>
      <c r="R614" s="1"/>
      <c r="S614" s="1"/>
      <c r="T614" s="1"/>
      <c r="U614" s="1"/>
      <c r="V614" s="1"/>
      <c r="W614" s="1"/>
    </row>
    <row r="615" spans="1:23">
      <c r="A615" s="223"/>
      <c r="B615" s="1"/>
      <c r="C615" s="1"/>
      <c r="D615" s="1"/>
      <c r="E615" s="1"/>
      <c r="F615" s="1"/>
      <c r="G615" s="1"/>
      <c r="H615" s="1"/>
      <c r="I615" s="1"/>
      <c r="J615" s="1"/>
      <c r="K615" s="1"/>
      <c r="L615" s="1"/>
      <c r="M615" s="1"/>
      <c r="N615" s="1"/>
      <c r="O615" s="1"/>
      <c r="P615" s="1"/>
      <c r="Q615" s="1"/>
      <c r="R615" s="1"/>
      <c r="S615" s="1"/>
      <c r="T615" s="1"/>
      <c r="U615" s="1"/>
      <c r="V615" s="1"/>
      <c r="W615" s="1"/>
    </row>
    <row r="616" spans="1:23">
      <c r="A616" s="223"/>
      <c r="B616" s="1"/>
      <c r="C616" s="1"/>
      <c r="D616" s="1"/>
      <c r="E616" s="1"/>
      <c r="F616" s="1"/>
      <c r="G616" s="1"/>
      <c r="H616" s="1"/>
      <c r="I616" s="1"/>
      <c r="J616" s="1"/>
      <c r="K616" s="1"/>
      <c r="L616" s="1"/>
      <c r="M616" s="1"/>
      <c r="N616" s="1"/>
      <c r="O616" s="1"/>
      <c r="P616" s="1"/>
      <c r="Q616" s="1"/>
      <c r="R616" s="1"/>
      <c r="S616" s="1"/>
      <c r="T616" s="1"/>
      <c r="U616" s="1"/>
      <c r="V616" s="1"/>
      <c r="W616" s="1"/>
    </row>
    <row r="617" spans="1:23">
      <c r="A617" s="223"/>
      <c r="B617" s="1"/>
      <c r="C617" s="1"/>
      <c r="D617" s="1"/>
      <c r="E617" s="1"/>
      <c r="F617" s="1"/>
      <c r="G617" s="1"/>
      <c r="H617" s="1"/>
      <c r="I617" s="1"/>
      <c r="J617" s="1"/>
      <c r="K617" s="1"/>
      <c r="L617" s="1"/>
      <c r="M617" s="1"/>
      <c r="N617" s="1"/>
      <c r="O617" s="1"/>
      <c r="P617" s="1"/>
      <c r="Q617" s="1"/>
      <c r="R617" s="1"/>
      <c r="S617" s="1"/>
      <c r="T617" s="1"/>
      <c r="U617" s="1"/>
      <c r="V617" s="1"/>
      <c r="W617" s="1"/>
    </row>
    <row r="618" spans="1:23">
      <c r="A618" s="223"/>
      <c r="B618" s="1"/>
      <c r="C618" s="1"/>
      <c r="D618" s="1"/>
      <c r="E618" s="1"/>
      <c r="F618" s="1"/>
      <c r="G618" s="1"/>
      <c r="H618" s="1"/>
      <c r="I618" s="1"/>
      <c r="J618" s="1"/>
      <c r="K618" s="1"/>
      <c r="L618" s="1"/>
      <c r="M618" s="1"/>
      <c r="N618" s="1"/>
      <c r="O618" s="1"/>
      <c r="P618" s="1"/>
      <c r="Q618" s="1"/>
      <c r="R618" s="1"/>
      <c r="S618" s="1"/>
      <c r="T618" s="1"/>
      <c r="U618" s="1"/>
      <c r="V618" s="1"/>
      <c r="W618" s="1"/>
    </row>
    <row r="619" spans="1:23">
      <c r="A619" s="223"/>
      <c r="B619" s="1"/>
      <c r="C619" s="1"/>
      <c r="D619" s="1"/>
      <c r="E619" s="1"/>
      <c r="F619" s="1"/>
      <c r="G619" s="1"/>
      <c r="H619" s="1"/>
      <c r="I619" s="1"/>
      <c r="J619" s="1"/>
      <c r="K619" s="1"/>
      <c r="L619" s="1"/>
      <c r="M619" s="1"/>
      <c r="N619" s="1"/>
      <c r="O619" s="1"/>
      <c r="P619" s="1"/>
      <c r="Q619" s="1"/>
      <c r="R619" s="1"/>
      <c r="S619" s="1"/>
      <c r="T619" s="1"/>
      <c r="U619" s="1"/>
      <c r="V619" s="1"/>
      <c r="W619" s="1"/>
    </row>
    <row r="620" spans="1:23">
      <c r="A620" s="223"/>
      <c r="B620" s="1"/>
      <c r="C620" s="1"/>
      <c r="D620" s="1"/>
      <c r="E620" s="1"/>
      <c r="F620" s="1"/>
      <c r="G620" s="1"/>
      <c r="H620" s="1"/>
      <c r="I620" s="1"/>
      <c r="J620" s="1"/>
      <c r="K620" s="1"/>
      <c r="L620" s="1"/>
      <c r="M620" s="1"/>
      <c r="N620" s="1"/>
      <c r="O620" s="1"/>
      <c r="P620" s="1"/>
      <c r="Q620" s="1"/>
      <c r="R620" s="1"/>
      <c r="S620" s="1"/>
      <c r="T620" s="1"/>
      <c r="U620" s="1"/>
      <c r="V620" s="1"/>
      <c r="W620" s="1"/>
    </row>
    <row r="621" spans="1:23">
      <c r="A621" s="223"/>
      <c r="B621" s="1"/>
      <c r="C621" s="1"/>
      <c r="D621" s="1"/>
      <c r="E621" s="1"/>
      <c r="F621" s="1"/>
      <c r="G621" s="1"/>
      <c r="H621" s="1"/>
      <c r="I621" s="1"/>
      <c r="J621" s="1"/>
      <c r="K621" s="1"/>
      <c r="L621" s="1"/>
      <c r="M621" s="1"/>
      <c r="N621" s="1"/>
      <c r="O621" s="1"/>
      <c r="P621" s="1"/>
      <c r="Q621" s="1"/>
      <c r="R621" s="1"/>
      <c r="S621" s="1"/>
      <c r="T621" s="1"/>
      <c r="U621" s="1"/>
      <c r="V621" s="1"/>
      <c r="W621" s="1"/>
    </row>
    <row r="622" spans="1:23">
      <c r="A622" s="223"/>
      <c r="B622" s="1"/>
      <c r="C622" s="1"/>
      <c r="D622" s="1"/>
      <c r="E622" s="1"/>
      <c r="F622" s="1"/>
      <c r="G622" s="1"/>
      <c r="H622" s="1"/>
      <c r="I622" s="1"/>
      <c r="J622" s="1"/>
      <c r="K622" s="1"/>
      <c r="L622" s="1"/>
      <c r="M622" s="1"/>
      <c r="N622" s="1"/>
      <c r="O622" s="1"/>
      <c r="P622" s="1"/>
      <c r="Q622" s="1"/>
      <c r="R622" s="1"/>
      <c r="S622" s="1"/>
      <c r="T622" s="1"/>
      <c r="U622" s="1"/>
      <c r="V622" s="1"/>
      <c r="W622" s="1"/>
    </row>
    <row r="623" spans="1:23">
      <c r="A623" s="223"/>
      <c r="B623" s="1"/>
      <c r="C623" s="1"/>
      <c r="D623" s="1"/>
      <c r="E623" s="1"/>
      <c r="F623" s="1"/>
      <c r="G623" s="1"/>
      <c r="H623" s="1"/>
      <c r="I623" s="1"/>
      <c r="J623" s="1"/>
      <c r="K623" s="1"/>
      <c r="L623" s="1"/>
      <c r="M623" s="1"/>
      <c r="N623" s="1"/>
      <c r="O623" s="1"/>
      <c r="P623" s="1"/>
      <c r="Q623" s="1"/>
      <c r="R623" s="1"/>
      <c r="S623" s="1"/>
      <c r="T623" s="1"/>
      <c r="U623" s="1"/>
      <c r="V623" s="1"/>
      <c r="W623" s="1"/>
    </row>
    <row r="624" spans="1:23">
      <c r="A624" s="223"/>
      <c r="B624" s="1"/>
      <c r="C624" s="1"/>
      <c r="D624" s="1"/>
      <c r="E624" s="1"/>
      <c r="F624" s="1"/>
      <c r="G624" s="1"/>
      <c r="H624" s="1"/>
      <c r="I624" s="1"/>
      <c r="J624" s="1"/>
      <c r="K624" s="1"/>
      <c r="L624" s="1"/>
      <c r="M624" s="1"/>
      <c r="N624" s="1"/>
      <c r="O624" s="1"/>
      <c r="P624" s="1"/>
      <c r="Q624" s="1"/>
      <c r="R624" s="1"/>
      <c r="S624" s="1"/>
      <c r="T624" s="1"/>
      <c r="U624" s="1"/>
      <c r="V624" s="1"/>
      <c r="W624" s="1"/>
    </row>
    <row r="625" spans="1:23">
      <c r="A625" s="223"/>
      <c r="B625" s="1"/>
      <c r="C625" s="1"/>
      <c r="D625" s="1"/>
      <c r="E625" s="1"/>
      <c r="F625" s="1"/>
      <c r="G625" s="1"/>
      <c r="H625" s="1"/>
      <c r="I625" s="1"/>
      <c r="J625" s="1"/>
      <c r="K625" s="1"/>
      <c r="L625" s="1"/>
      <c r="M625" s="1"/>
      <c r="N625" s="1"/>
      <c r="O625" s="1"/>
      <c r="P625" s="1"/>
      <c r="Q625" s="1"/>
      <c r="R625" s="1"/>
      <c r="S625" s="1"/>
      <c r="T625" s="1"/>
      <c r="U625" s="1"/>
      <c r="V625" s="1"/>
      <c r="W625" s="1"/>
    </row>
    <row r="626" spans="1:23">
      <c r="A626" s="223"/>
      <c r="B626" s="1"/>
      <c r="C626" s="1"/>
      <c r="D626" s="1"/>
      <c r="E626" s="1"/>
      <c r="F626" s="1"/>
      <c r="G626" s="1"/>
      <c r="H626" s="1"/>
      <c r="I626" s="1"/>
      <c r="J626" s="1"/>
      <c r="K626" s="1"/>
      <c r="L626" s="1"/>
      <c r="M626" s="1"/>
      <c r="N626" s="1"/>
      <c r="O626" s="1"/>
      <c r="P626" s="1"/>
      <c r="Q626" s="1"/>
      <c r="R626" s="1"/>
      <c r="S626" s="1"/>
      <c r="T626" s="1"/>
      <c r="U626" s="1"/>
      <c r="V626" s="1"/>
      <c r="W626" s="1"/>
    </row>
    <row r="627" spans="1:23">
      <c r="A627" s="223"/>
      <c r="B627" s="1"/>
      <c r="C627" s="1"/>
      <c r="D627" s="1"/>
      <c r="E627" s="1"/>
      <c r="F627" s="1"/>
      <c r="G627" s="1"/>
      <c r="H627" s="1"/>
      <c r="I627" s="1"/>
      <c r="J627" s="1"/>
      <c r="K627" s="1"/>
      <c r="L627" s="1"/>
      <c r="M627" s="1"/>
      <c r="N627" s="1"/>
      <c r="O627" s="1"/>
      <c r="P627" s="1"/>
      <c r="Q627" s="1"/>
      <c r="R627" s="1"/>
      <c r="S627" s="1"/>
      <c r="T627" s="1"/>
      <c r="U627" s="1"/>
      <c r="V627" s="1"/>
      <c r="W627" s="1"/>
    </row>
    <row r="628" spans="1:23">
      <c r="A628" s="223"/>
      <c r="B628" s="1"/>
      <c r="C628" s="1"/>
      <c r="D628" s="1"/>
      <c r="E628" s="1"/>
      <c r="F628" s="1"/>
      <c r="G628" s="1"/>
      <c r="H628" s="1"/>
      <c r="I628" s="1"/>
      <c r="J628" s="1"/>
      <c r="K628" s="1"/>
      <c r="L628" s="1"/>
      <c r="M628" s="1"/>
      <c r="N628" s="1"/>
      <c r="O628" s="1"/>
      <c r="P628" s="1"/>
      <c r="Q628" s="1"/>
      <c r="R628" s="1"/>
      <c r="S628" s="1"/>
      <c r="T628" s="1"/>
      <c r="U628" s="1"/>
      <c r="V628" s="1"/>
      <c r="W628" s="1"/>
    </row>
    <row r="629" spans="1:23">
      <c r="A629" s="223"/>
      <c r="B629" s="1"/>
      <c r="C629" s="1"/>
      <c r="D629" s="1"/>
      <c r="E629" s="1"/>
      <c r="F629" s="1"/>
      <c r="G629" s="1"/>
      <c r="H629" s="1"/>
      <c r="I629" s="1"/>
      <c r="J629" s="1"/>
      <c r="K629" s="1"/>
      <c r="L629" s="1"/>
      <c r="M629" s="1"/>
      <c r="N629" s="1"/>
      <c r="O629" s="1"/>
      <c r="P629" s="1"/>
      <c r="Q629" s="1"/>
      <c r="R629" s="1"/>
      <c r="S629" s="1"/>
      <c r="T629" s="1"/>
      <c r="U629" s="1"/>
      <c r="V629" s="1"/>
      <c r="W629" s="1"/>
    </row>
    <row r="630" spans="1:23">
      <c r="A630" s="223"/>
      <c r="B630" s="1"/>
      <c r="C630" s="1"/>
      <c r="D630" s="1"/>
      <c r="E630" s="1"/>
      <c r="F630" s="1"/>
      <c r="G630" s="1"/>
      <c r="H630" s="1"/>
      <c r="I630" s="1"/>
      <c r="J630" s="1"/>
      <c r="K630" s="1"/>
      <c r="L630" s="1"/>
      <c r="M630" s="1"/>
      <c r="N630" s="1"/>
      <c r="O630" s="1"/>
      <c r="P630" s="1"/>
      <c r="Q630" s="1"/>
      <c r="R630" s="1"/>
      <c r="S630" s="1"/>
      <c r="T630" s="1"/>
      <c r="U630" s="1"/>
      <c r="V630" s="1"/>
      <c r="W630" s="1"/>
    </row>
    <row r="631" spans="1:23">
      <c r="A631" s="223"/>
      <c r="B631" s="1"/>
      <c r="C631" s="1"/>
      <c r="D631" s="1"/>
      <c r="E631" s="1"/>
      <c r="F631" s="1"/>
      <c r="G631" s="1"/>
      <c r="H631" s="1"/>
      <c r="I631" s="1"/>
      <c r="J631" s="1"/>
      <c r="K631" s="1"/>
      <c r="L631" s="1"/>
      <c r="M631" s="1"/>
      <c r="N631" s="1"/>
      <c r="O631" s="1"/>
      <c r="P631" s="1"/>
      <c r="Q631" s="1"/>
      <c r="R631" s="1"/>
      <c r="S631" s="1"/>
      <c r="T631" s="1"/>
      <c r="U631" s="1"/>
      <c r="V631" s="1"/>
      <c r="W631" s="1"/>
    </row>
    <row r="632" spans="1:23">
      <c r="A632" s="223"/>
      <c r="B632" s="1"/>
      <c r="C632" s="1"/>
      <c r="D632" s="1"/>
      <c r="E632" s="1"/>
      <c r="F632" s="1"/>
      <c r="G632" s="1"/>
      <c r="H632" s="1"/>
      <c r="I632" s="1"/>
      <c r="J632" s="1"/>
      <c r="K632" s="1"/>
      <c r="L632" s="1"/>
      <c r="M632" s="1"/>
      <c r="N632" s="1"/>
      <c r="O632" s="1"/>
      <c r="P632" s="1"/>
      <c r="Q632" s="1"/>
      <c r="R632" s="1"/>
      <c r="S632" s="1"/>
      <c r="T632" s="1"/>
      <c r="U632" s="1"/>
      <c r="V632" s="1"/>
      <c r="W632" s="1"/>
    </row>
    <row r="633" spans="1:23">
      <c r="A633" s="223"/>
      <c r="B633" s="1"/>
      <c r="C633" s="1"/>
      <c r="D633" s="1"/>
      <c r="E633" s="1"/>
      <c r="F633" s="1"/>
      <c r="G633" s="1"/>
      <c r="H633" s="1"/>
      <c r="I633" s="1"/>
      <c r="J633" s="1"/>
      <c r="K633" s="1"/>
      <c r="L633" s="1"/>
      <c r="M633" s="1"/>
      <c r="N633" s="1"/>
      <c r="O633" s="1"/>
      <c r="P633" s="1"/>
      <c r="Q633" s="1"/>
      <c r="R633" s="1"/>
      <c r="S633" s="1"/>
      <c r="T633" s="1"/>
      <c r="U633" s="1"/>
      <c r="V633" s="1"/>
      <c r="W633" s="1"/>
    </row>
    <row r="634" spans="1:23">
      <c r="A634" s="223"/>
      <c r="B634" s="1"/>
      <c r="C634" s="1"/>
      <c r="D634" s="1"/>
      <c r="E634" s="1"/>
      <c r="F634" s="1"/>
      <c r="G634" s="1"/>
      <c r="H634" s="1"/>
      <c r="I634" s="1"/>
      <c r="J634" s="1"/>
      <c r="K634" s="1"/>
      <c r="L634" s="1"/>
      <c r="M634" s="1"/>
      <c r="N634" s="1"/>
      <c r="O634" s="1"/>
      <c r="P634" s="1"/>
      <c r="Q634" s="1"/>
      <c r="R634" s="1"/>
      <c r="S634" s="1"/>
      <c r="T634" s="1"/>
      <c r="U634" s="1"/>
      <c r="V634" s="1"/>
      <c r="W634" s="1"/>
    </row>
    <row r="635" spans="1:23">
      <c r="A635" s="223"/>
      <c r="B635" s="1"/>
      <c r="C635" s="1"/>
      <c r="D635" s="1"/>
      <c r="E635" s="1"/>
      <c r="F635" s="1"/>
      <c r="G635" s="1"/>
      <c r="H635" s="1"/>
      <c r="I635" s="1"/>
      <c r="J635" s="1"/>
      <c r="K635" s="1"/>
      <c r="L635" s="1"/>
      <c r="M635" s="1"/>
      <c r="N635" s="1"/>
      <c r="O635" s="1"/>
      <c r="P635" s="1"/>
      <c r="Q635" s="1"/>
      <c r="R635" s="1"/>
      <c r="S635" s="1"/>
      <c r="T635" s="1"/>
      <c r="U635" s="1"/>
      <c r="V635" s="1"/>
      <c r="W635" s="1"/>
    </row>
    <row r="636" spans="1:23">
      <c r="A636" s="223"/>
      <c r="B636" s="1"/>
      <c r="C636" s="1"/>
      <c r="D636" s="1"/>
      <c r="E636" s="1"/>
      <c r="F636" s="1"/>
      <c r="G636" s="1"/>
      <c r="H636" s="1"/>
      <c r="I636" s="1"/>
      <c r="J636" s="1"/>
      <c r="K636" s="1"/>
      <c r="L636" s="1"/>
      <c r="M636" s="1"/>
      <c r="N636" s="1"/>
      <c r="O636" s="1"/>
      <c r="P636" s="1"/>
      <c r="Q636" s="1"/>
      <c r="R636" s="1"/>
      <c r="S636" s="1"/>
      <c r="T636" s="1"/>
      <c r="U636" s="1"/>
      <c r="V636" s="1"/>
      <c r="W636" s="1"/>
    </row>
    <row r="637" spans="1:23">
      <c r="A637" s="223"/>
      <c r="B637" s="1"/>
      <c r="C637" s="1"/>
      <c r="D637" s="1"/>
      <c r="E637" s="1"/>
      <c r="F637" s="1"/>
      <c r="G637" s="1"/>
      <c r="H637" s="1"/>
      <c r="I637" s="1"/>
      <c r="J637" s="1"/>
      <c r="K637" s="1"/>
      <c r="L637" s="1"/>
      <c r="M637" s="1"/>
      <c r="N637" s="1"/>
      <c r="O637" s="1"/>
      <c r="P637" s="1"/>
      <c r="Q637" s="1"/>
      <c r="R637" s="1"/>
      <c r="S637" s="1"/>
      <c r="T637" s="1"/>
      <c r="U637" s="1"/>
      <c r="V637" s="1"/>
      <c r="W637" s="1"/>
    </row>
    <row r="638" spans="1:23">
      <c r="A638" s="223"/>
      <c r="B638" s="1"/>
      <c r="C638" s="1"/>
      <c r="D638" s="1"/>
      <c r="E638" s="1"/>
      <c r="F638" s="1"/>
      <c r="G638" s="1"/>
      <c r="H638" s="1"/>
      <c r="I638" s="1"/>
      <c r="J638" s="1"/>
      <c r="K638" s="1"/>
      <c r="L638" s="1"/>
      <c r="M638" s="1"/>
      <c r="N638" s="1"/>
      <c r="O638" s="1"/>
      <c r="P638" s="1"/>
      <c r="Q638" s="1"/>
      <c r="R638" s="1"/>
      <c r="S638" s="1"/>
      <c r="T638" s="1"/>
      <c r="U638" s="1"/>
      <c r="V638" s="1"/>
      <c r="W638" s="1"/>
    </row>
    <row r="639" spans="1:23">
      <c r="A639" s="223"/>
      <c r="B639" s="1"/>
      <c r="C639" s="1"/>
      <c r="D639" s="1"/>
      <c r="E639" s="1"/>
      <c r="F639" s="1"/>
      <c r="G639" s="1"/>
      <c r="H639" s="1"/>
      <c r="I639" s="1"/>
      <c r="J639" s="1"/>
      <c r="K639" s="1"/>
      <c r="L639" s="1"/>
      <c r="M639" s="1"/>
      <c r="N639" s="1"/>
      <c r="O639" s="1"/>
      <c r="P639" s="1"/>
      <c r="Q639" s="1"/>
      <c r="R639" s="1"/>
      <c r="S639" s="1"/>
      <c r="T639" s="1"/>
      <c r="U639" s="1"/>
      <c r="V639" s="1"/>
      <c r="W639" s="1"/>
    </row>
    <row r="640" spans="1:23">
      <c r="A640" s="223"/>
      <c r="B640" s="1"/>
      <c r="C640" s="1"/>
      <c r="D640" s="1"/>
      <c r="E640" s="1"/>
      <c r="F640" s="1"/>
      <c r="G640" s="1"/>
      <c r="H640" s="1"/>
      <c r="I640" s="1"/>
      <c r="J640" s="1"/>
      <c r="K640" s="1"/>
      <c r="L640" s="1"/>
      <c r="M640" s="1"/>
      <c r="N640" s="1"/>
      <c r="O640" s="1"/>
      <c r="P640" s="1"/>
      <c r="Q640" s="1"/>
      <c r="R640" s="1"/>
      <c r="S640" s="1"/>
      <c r="T640" s="1"/>
      <c r="U640" s="1"/>
      <c r="V640" s="1"/>
      <c r="W640" s="1"/>
    </row>
    <row r="641" spans="1:23">
      <c r="A641" s="223"/>
      <c r="B641" s="1"/>
      <c r="C641" s="1"/>
      <c r="D641" s="1"/>
      <c r="E641" s="1"/>
      <c r="F641" s="1"/>
      <c r="G641" s="1"/>
      <c r="H641" s="1"/>
      <c r="I641" s="1"/>
      <c r="J641" s="1"/>
      <c r="K641" s="1"/>
      <c r="L641" s="1"/>
      <c r="M641" s="1"/>
      <c r="N641" s="1"/>
      <c r="O641" s="1"/>
      <c r="P641" s="1"/>
      <c r="Q641" s="1"/>
      <c r="R641" s="1"/>
      <c r="S641" s="1"/>
      <c r="T641" s="1"/>
      <c r="U641" s="1"/>
      <c r="V641" s="1"/>
      <c r="W641" s="1"/>
    </row>
    <row r="642" spans="1:23">
      <c r="A642" s="223"/>
      <c r="B642" s="1"/>
      <c r="C642" s="1"/>
      <c r="D642" s="1"/>
      <c r="E642" s="1"/>
      <c r="F642" s="1"/>
      <c r="G642" s="1"/>
      <c r="H642" s="1"/>
      <c r="I642" s="1"/>
      <c r="J642" s="1"/>
      <c r="K642" s="1"/>
      <c r="L642" s="1"/>
      <c r="M642" s="1"/>
      <c r="N642" s="1"/>
      <c r="O642" s="1"/>
      <c r="P642" s="1"/>
      <c r="Q642" s="1"/>
      <c r="R642" s="1"/>
      <c r="S642" s="1"/>
      <c r="T642" s="1"/>
      <c r="U642" s="1"/>
      <c r="V642" s="1"/>
      <c r="W642" s="1"/>
    </row>
    <row r="643" spans="1:23">
      <c r="A643" s="223"/>
      <c r="B643" s="1"/>
      <c r="C643" s="1"/>
      <c r="D643" s="1"/>
      <c r="E643" s="1"/>
      <c r="F643" s="1"/>
      <c r="G643" s="1"/>
      <c r="H643" s="1"/>
      <c r="I643" s="1"/>
      <c r="J643" s="1"/>
      <c r="K643" s="1"/>
      <c r="L643" s="1"/>
      <c r="M643" s="1"/>
      <c r="N643" s="1"/>
      <c r="O643" s="1"/>
      <c r="P643" s="1"/>
      <c r="Q643" s="1"/>
      <c r="R643" s="1"/>
      <c r="S643" s="1"/>
      <c r="T643" s="1"/>
      <c r="U643" s="1"/>
      <c r="V643" s="1"/>
      <c r="W643" s="1"/>
    </row>
    <row r="644" spans="1:23">
      <c r="A644" s="223"/>
      <c r="B644" s="1"/>
      <c r="C644" s="1"/>
      <c r="D644" s="1"/>
      <c r="E644" s="1"/>
      <c r="F644" s="1"/>
      <c r="G644" s="1"/>
      <c r="H644" s="1"/>
      <c r="I644" s="1"/>
      <c r="J644" s="1"/>
      <c r="K644" s="1"/>
      <c r="L644" s="1"/>
      <c r="M644" s="1"/>
      <c r="N644" s="1"/>
      <c r="O644" s="1"/>
      <c r="P644" s="1"/>
      <c r="Q644" s="1"/>
      <c r="R644" s="1"/>
      <c r="S644" s="1"/>
      <c r="T644" s="1"/>
      <c r="U644" s="1"/>
      <c r="V644" s="1"/>
      <c r="W644" s="1"/>
    </row>
    <row r="645" spans="1:23">
      <c r="A645" s="223"/>
      <c r="B645" s="1"/>
      <c r="C645" s="1"/>
      <c r="D645" s="1"/>
      <c r="E645" s="1"/>
      <c r="F645" s="1"/>
      <c r="G645" s="1"/>
      <c r="H645" s="1"/>
      <c r="I645" s="1"/>
      <c r="J645" s="1"/>
      <c r="K645" s="1"/>
      <c r="L645" s="1"/>
      <c r="M645" s="1"/>
      <c r="N645" s="1"/>
      <c r="O645" s="1"/>
      <c r="P645" s="1"/>
      <c r="Q645" s="1"/>
      <c r="R645" s="1"/>
      <c r="S645" s="1"/>
      <c r="T645" s="1"/>
      <c r="U645" s="1"/>
      <c r="V645" s="1"/>
      <c r="W645" s="1"/>
    </row>
    <row r="646" spans="1:23">
      <c r="A646" s="223"/>
      <c r="B646" s="1"/>
      <c r="C646" s="1"/>
      <c r="D646" s="1"/>
      <c r="E646" s="1"/>
      <c r="F646" s="1"/>
      <c r="G646" s="1"/>
      <c r="H646" s="1"/>
      <c r="I646" s="1"/>
      <c r="J646" s="1"/>
      <c r="K646" s="1"/>
      <c r="L646" s="1"/>
      <c r="M646" s="1"/>
      <c r="N646" s="1"/>
      <c r="O646" s="1"/>
      <c r="P646" s="1"/>
      <c r="Q646" s="1"/>
      <c r="R646" s="1"/>
      <c r="S646" s="1"/>
      <c r="T646" s="1"/>
      <c r="U646" s="1"/>
      <c r="V646" s="1"/>
      <c r="W646" s="1"/>
    </row>
    <row r="647" spans="1:23">
      <c r="A647" s="223"/>
      <c r="B647" s="1"/>
      <c r="C647" s="1"/>
      <c r="D647" s="1"/>
      <c r="E647" s="1"/>
      <c r="F647" s="1"/>
      <c r="G647" s="1"/>
      <c r="H647" s="1"/>
      <c r="I647" s="1"/>
      <c r="J647" s="1"/>
      <c r="K647" s="1"/>
      <c r="L647" s="1"/>
      <c r="M647" s="1"/>
      <c r="N647" s="1"/>
      <c r="O647" s="1"/>
      <c r="P647" s="1"/>
      <c r="Q647" s="1"/>
      <c r="R647" s="1"/>
      <c r="S647" s="1"/>
      <c r="T647" s="1"/>
      <c r="U647" s="1"/>
      <c r="V647" s="1"/>
      <c r="W647" s="1"/>
    </row>
    <row r="648" spans="1:23">
      <c r="A648" s="223"/>
      <c r="B648" s="1"/>
      <c r="C648" s="1"/>
      <c r="D648" s="1"/>
      <c r="E648" s="1"/>
      <c r="F648" s="1"/>
      <c r="G648" s="1"/>
      <c r="H648" s="1"/>
      <c r="I648" s="1"/>
      <c r="J648" s="1"/>
      <c r="K648" s="1"/>
      <c r="L648" s="1"/>
      <c r="M648" s="1"/>
      <c r="N648" s="1"/>
      <c r="O648" s="1"/>
      <c r="P648" s="1"/>
      <c r="Q648" s="1"/>
      <c r="R648" s="1"/>
      <c r="S648" s="1"/>
      <c r="T648" s="1"/>
      <c r="U648" s="1"/>
      <c r="V648" s="1"/>
      <c r="W648" s="1"/>
    </row>
    <row r="649" spans="1:23">
      <c r="A649" s="223"/>
      <c r="B649" s="1"/>
      <c r="C649" s="1"/>
      <c r="D649" s="1"/>
      <c r="E649" s="1"/>
      <c r="F649" s="1"/>
      <c r="G649" s="1"/>
      <c r="H649" s="1"/>
      <c r="I649" s="1"/>
      <c r="J649" s="1"/>
      <c r="K649" s="1"/>
      <c r="L649" s="1"/>
      <c r="M649" s="1"/>
      <c r="N649" s="1"/>
      <c r="O649" s="1"/>
      <c r="P649" s="1"/>
      <c r="Q649" s="1"/>
      <c r="R649" s="1"/>
      <c r="S649" s="1"/>
      <c r="T649" s="1"/>
      <c r="U649" s="1"/>
      <c r="V649" s="1"/>
      <c r="W649" s="1"/>
    </row>
    <row r="650" spans="1:23">
      <c r="A650" s="223"/>
      <c r="B650" s="1"/>
      <c r="C650" s="1"/>
      <c r="D650" s="1"/>
      <c r="E650" s="1"/>
      <c r="F650" s="1"/>
      <c r="G650" s="1"/>
      <c r="H650" s="1"/>
      <c r="I650" s="1"/>
      <c r="J650" s="1"/>
      <c r="K650" s="1"/>
      <c r="L650" s="1"/>
      <c r="M650" s="1"/>
      <c r="N650" s="1"/>
      <c r="O650" s="1"/>
      <c r="P650" s="1"/>
      <c r="Q650" s="1"/>
      <c r="R650" s="1"/>
      <c r="S650" s="1"/>
      <c r="T650" s="1"/>
      <c r="U650" s="1"/>
      <c r="V650" s="1"/>
      <c r="W650" s="1"/>
    </row>
    <row r="651" spans="1:23">
      <c r="A651" s="223"/>
      <c r="B651" s="1"/>
      <c r="C651" s="1"/>
      <c r="D651" s="1"/>
      <c r="E651" s="1"/>
      <c r="F651" s="1"/>
      <c r="G651" s="1"/>
      <c r="H651" s="1"/>
      <c r="I651" s="1"/>
      <c r="J651" s="1"/>
      <c r="K651" s="1"/>
      <c r="L651" s="1"/>
      <c r="M651" s="1"/>
      <c r="N651" s="1"/>
      <c r="O651" s="1"/>
      <c r="P651" s="1"/>
      <c r="Q651" s="1"/>
      <c r="R651" s="1"/>
      <c r="S651" s="1"/>
      <c r="T651" s="1"/>
      <c r="U651" s="1"/>
      <c r="V651" s="1"/>
      <c r="W651" s="1"/>
    </row>
    <row r="652" spans="1:23">
      <c r="A652" s="223"/>
      <c r="B652" s="1"/>
      <c r="C652" s="1"/>
      <c r="D652" s="1"/>
      <c r="E652" s="1"/>
      <c r="F652" s="1"/>
      <c r="G652" s="1"/>
      <c r="H652" s="1"/>
      <c r="I652" s="1"/>
      <c r="J652" s="1"/>
      <c r="K652" s="1"/>
      <c r="L652" s="1"/>
      <c r="M652" s="1"/>
      <c r="N652" s="1"/>
      <c r="O652" s="1"/>
      <c r="P652" s="1"/>
      <c r="Q652" s="1"/>
      <c r="R652" s="1"/>
      <c r="S652" s="1"/>
      <c r="T652" s="1"/>
      <c r="U652" s="1"/>
      <c r="V652" s="1"/>
      <c r="W652" s="1"/>
    </row>
    <row r="653" spans="1:23">
      <c r="A653" s="223"/>
      <c r="B653" s="1"/>
      <c r="C653" s="1"/>
      <c r="D653" s="1"/>
      <c r="E653" s="1"/>
      <c r="F653" s="1"/>
      <c r="G653" s="1"/>
      <c r="H653" s="1"/>
      <c r="I653" s="1"/>
      <c r="J653" s="1"/>
      <c r="K653" s="1"/>
      <c r="L653" s="1"/>
      <c r="M653" s="1"/>
      <c r="N653" s="1"/>
      <c r="O653" s="1"/>
      <c r="P653" s="1"/>
      <c r="Q653" s="1"/>
      <c r="R653" s="1"/>
      <c r="S653" s="1"/>
      <c r="T653" s="1"/>
      <c r="U653" s="1"/>
      <c r="V653" s="1"/>
      <c r="W653" s="1"/>
    </row>
    <row r="654" spans="1:23">
      <c r="A654" s="223"/>
      <c r="B654" s="1"/>
      <c r="C654" s="1"/>
      <c r="D654" s="1"/>
      <c r="E654" s="1"/>
      <c r="F654" s="1"/>
      <c r="G654" s="1"/>
      <c r="H654" s="1"/>
      <c r="I654" s="1"/>
      <c r="J654" s="1"/>
      <c r="K654" s="1"/>
      <c r="L654" s="1"/>
      <c r="M654" s="1"/>
      <c r="N654" s="1"/>
      <c r="O654" s="1"/>
      <c r="P654" s="1"/>
      <c r="Q654" s="1"/>
      <c r="R654" s="1"/>
      <c r="S654" s="1"/>
      <c r="T654" s="1"/>
      <c r="U654" s="1"/>
      <c r="V654" s="1"/>
      <c r="W654" s="1"/>
    </row>
    <row r="655" spans="1:23">
      <c r="A655" s="223"/>
      <c r="B655" s="1"/>
      <c r="C655" s="1"/>
      <c r="D655" s="1"/>
      <c r="E655" s="1"/>
      <c r="F655" s="1"/>
      <c r="G655" s="1"/>
      <c r="H655" s="1"/>
      <c r="I655" s="1"/>
      <c r="J655" s="1"/>
      <c r="K655" s="1"/>
      <c r="L655" s="1"/>
      <c r="M655" s="1"/>
      <c r="N655" s="1"/>
      <c r="O655" s="1"/>
      <c r="P655" s="1"/>
      <c r="Q655" s="1"/>
      <c r="R655" s="1"/>
      <c r="S655" s="1"/>
      <c r="T655" s="1"/>
      <c r="U655" s="1"/>
      <c r="V655" s="1"/>
      <c r="W655" s="1"/>
    </row>
    <row r="656" spans="1:23">
      <c r="A656" s="223"/>
      <c r="B656" s="1"/>
      <c r="C656" s="1"/>
      <c r="D656" s="1"/>
      <c r="E656" s="1"/>
      <c r="F656" s="1"/>
      <c r="G656" s="1"/>
      <c r="H656" s="1"/>
      <c r="I656" s="1"/>
      <c r="J656" s="1"/>
      <c r="K656" s="1"/>
      <c r="L656" s="1"/>
      <c r="M656" s="1"/>
      <c r="N656" s="1"/>
      <c r="O656" s="1"/>
      <c r="P656" s="1"/>
      <c r="Q656" s="1"/>
      <c r="R656" s="1"/>
      <c r="S656" s="1"/>
      <c r="T656" s="1"/>
      <c r="U656" s="1"/>
      <c r="V656" s="1"/>
      <c r="W656" s="1"/>
    </row>
    <row r="657" spans="1:23">
      <c r="A657" s="223"/>
      <c r="B657" s="1"/>
      <c r="C657" s="1"/>
      <c r="D657" s="1"/>
      <c r="E657" s="1"/>
      <c r="F657" s="1"/>
      <c r="G657" s="1"/>
      <c r="H657" s="1"/>
      <c r="I657" s="1"/>
      <c r="J657" s="1"/>
      <c r="K657" s="1"/>
      <c r="L657" s="1"/>
      <c r="M657" s="1"/>
      <c r="N657" s="1"/>
      <c r="O657" s="1"/>
      <c r="P657" s="1"/>
      <c r="Q657" s="1"/>
      <c r="R657" s="1"/>
      <c r="S657" s="1"/>
      <c r="T657" s="1"/>
      <c r="U657" s="1"/>
      <c r="V657" s="1"/>
      <c r="W657" s="1"/>
    </row>
    <row r="658" spans="1:23">
      <c r="A658" s="223"/>
      <c r="B658" s="1"/>
      <c r="C658" s="1"/>
      <c r="D658" s="1"/>
      <c r="E658" s="1"/>
      <c r="F658" s="1"/>
      <c r="G658" s="1"/>
      <c r="H658" s="1"/>
      <c r="I658" s="1"/>
      <c r="J658" s="1"/>
      <c r="K658" s="1"/>
      <c r="L658" s="1"/>
      <c r="M658" s="1"/>
      <c r="N658" s="1"/>
      <c r="O658" s="1"/>
      <c r="P658" s="1"/>
      <c r="Q658" s="1"/>
      <c r="R658" s="1"/>
      <c r="S658" s="1"/>
      <c r="T658" s="1"/>
      <c r="U658" s="1"/>
      <c r="V658" s="1"/>
      <c r="W658" s="1"/>
    </row>
    <row r="659" spans="1:23">
      <c r="A659" s="223"/>
      <c r="B659" s="1"/>
      <c r="C659" s="1"/>
      <c r="D659" s="1"/>
      <c r="E659" s="1"/>
      <c r="F659" s="1"/>
      <c r="G659" s="1"/>
      <c r="H659" s="1"/>
      <c r="I659" s="1"/>
      <c r="J659" s="1"/>
      <c r="K659" s="1"/>
      <c r="L659" s="1"/>
      <c r="M659" s="1"/>
      <c r="N659" s="1"/>
      <c r="O659" s="1"/>
      <c r="P659" s="1"/>
      <c r="Q659" s="1"/>
      <c r="R659" s="1"/>
      <c r="S659" s="1"/>
      <c r="T659" s="1"/>
      <c r="U659" s="1"/>
      <c r="V659" s="1"/>
      <c r="W659" s="1"/>
    </row>
    <row r="660" spans="1:23">
      <c r="A660" s="223"/>
      <c r="B660" s="1"/>
      <c r="C660" s="1"/>
      <c r="D660" s="1"/>
      <c r="E660" s="1"/>
      <c r="F660" s="1"/>
      <c r="G660" s="1"/>
      <c r="H660" s="1"/>
      <c r="I660" s="1"/>
      <c r="J660" s="1"/>
      <c r="K660" s="1"/>
      <c r="L660" s="1"/>
      <c r="M660" s="1"/>
      <c r="N660" s="1"/>
      <c r="O660" s="1"/>
      <c r="P660" s="1"/>
      <c r="Q660" s="1"/>
      <c r="R660" s="1"/>
      <c r="S660" s="1"/>
      <c r="T660" s="1"/>
      <c r="U660" s="1"/>
      <c r="V660" s="1"/>
      <c r="W660" s="1"/>
    </row>
    <row r="661" spans="1:23">
      <c r="A661" s="223"/>
      <c r="B661" s="1"/>
      <c r="C661" s="1"/>
      <c r="D661" s="1"/>
      <c r="E661" s="1"/>
      <c r="F661" s="1"/>
      <c r="G661" s="1"/>
      <c r="H661" s="1"/>
      <c r="I661" s="1"/>
      <c r="J661" s="1"/>
      <c r="K661" s="1"/>
      <c r="L661" s="1"/>
      <c r="M661" s="1"/>
      <c r="N661" s="1"/>
      <c r="O661" s="1"/>
      <c r="P661" s="1"/>
      <c r="Q661" s="1"/>
      <c r="R661" s="1"/>
      <c r="S661" s="1"/>
      <c r="T661" s="1"/>
      <c r="U661" s="1"/>
      <c r="V661" s="1"/>
      <c r="W661" s="1"/>
    </row>
    <row r="662" spans="1:23">
      <c r="A662" s="223"/>
      <c r="B662" s="1"/>
      <c r="C662" s="1"/>
      <c r="D662" s="1"/>
      <c r="E662" s="1"/>
      <c r="F662" s="1"/>
      <c r="G662" s="1"/>
      <c r="H662" s="1"/>
      <c r="I662" s="1"/>
      <c r="J662" s="1"/>
      <c r="K662" s="1"/>
      <c r="L662" s="1"/>
      <c r="M662" s="1"/>
      <c r="N662" s="1"/>
      <c r="O662" s="1"/>
      <c r="P662" s="1"/>
      <c r="Q662" s="1"/>
      <c r="R662" s="1"/>
      <c r="S662" s="1"/>
      <c r="T662" s="1"/>
      <c r="U662" s="1"/>
      <c r="V662" s="1"/>
      <c r="W662" s="1"/>
    </row>
    <row r="663" spans="1:23">
      <c r="A663" s="223"/>
      <c r="B663" s="1"/>
      <c r="C663" s="1"/>
      <c r="D663" s="1"/>
      <c r="E663" s="1"/>
      <c r="F663" s="1"/>
      <c r="G663" s="1"/>
      <c r="H663" s="1"/>
      <c r="I663" s="1"/>
      <c r="J663" s="1"/>
      <c r="K663" s="1"/>
      <c r="L663" s="1"/>
      <c r="M663" s="1"/>
      <c r="N663" s="1"/>
      <c r="O663" s="1"/>
      <c r="P663" s="1"/>
      <c r="Q663" s="1"/>
      <c r="R663" s="1"/>
      <c r="S663" s="1"/>
      <c r="T663" s="1"/>
      <c r="U663" s="1"/>
      <c r="V663" s="1"/>
      <c r="W663" s="1"/>
    </row>
    <row r="664" spans="1:23">
      <c r="A664" s="223"/>
      <c r="B664" s="1"/>
      <c r="C664" s="1"/>
      <c r="D664" s="1"/>
      <c r="E664" s="1"/>
      <c r="F664" s="1"/>
      <c r="G664" s="1"/>
      <c r="H664" s="1"/>
      <c r="I664" s="1"/>
      <c r="J664" s="1"/>
      <c r="K664" s="1"/>
      <c r="L664" s="1"/>
      <c r="M664" s="1"/>
      <c r="N664" s="1"/>
      <c r="O664" s="1"/>
      <c r="P664" s="1"/>
      <c r="Q664" s="1"/>
      <c r="R664" s="1"/>
      <c r="S664" s="1"/>
      <c r="T664" s="1"/>
      <c r="U664" s="1"/>
      <c r="V664" s="1"/>
      <c r="W664" s="1"/>
    </row>
    <row r="665" spans="1:23">
      <c r="A665" s="223"/>
      <c r="B665" s="1"/>
      <c r="C665" s="1"/>
      <c r="D665" s="1"/>
      <c r="E665" s="1"/>
      <c r="F665" s="1"/>
      <c r="G665" s="1"/>
      <c r="H665" s="1"/>
      <c r="I665" s="1"/>
      <c r="J665" s="1"/>
      <c r="K665" s="1"/>
      <c r="L665" s="1"/>
      <c r="M665" s="1"/>
      <c r="N665" s="1"/>
      <c r="O665" s="1"/>
      <c r="P665" s="1"/>
      <c r="Q665" s="1"/>
      <c r="R665" s="1"/>
      <c r="S665" s="1"/>
      <c r="T665" s="1"/>
      <c r="U665" s="1"/>
      <c r="V665" s="1"/>
      <c r="W665" s="1"/>
    </row>
    <row r="666" spans="1:23">
      <c r="A666" s="223"/>
      <c r="B666" s="1"/>
      <c r="C666" s="1"/>
      <c r="D666" s="1"/>
      <c r="E666" s="1"/>
      <c r="F666" s="1"/>
      <c r="G666" s="1"/>
      <c r="H666" s="1"/>
      <c r="I666" s="1"/>
      <c r="J666" s="1"/>
      <c r="K666" s="1"/>
      <c r="L666" s="1"/>
      <c r="M666" s="1"/>
      <c r="N666" s="1"/>
      <c r="O666" s="1"/>
      <c r="P666" s="1"/>
      <c r="Q666" s="1"/>
      <c r="R666" s="1"/>
      <c r="S666" s="1"/>
      <c r="T666" s="1"/>
      <c r="U666" s="1"/>
      <c r="V666" s="1"/>
      <c r="W666" s="1"/>
    </row>
    <row r="667" spans="1:23">
      <c r="A667" s="223"/>
      <c r="B667" s="1"/>
      <c r="C667" s="1"/>
      <c r="D667" s="1"/>
      <c r="E667" s="1"/>
      <c r="F667" s="1"/>
      <c r="G667" s="1"/>
      <c r="H667" s="1"/>
      <c r="I667" s="1"/>
      <c r="J667" s="1"/>
      <c r="K667" s="1"/>
      <c r="L667" s="1"/>
      <c r="M667" s="1"/>
      <c r="N667" s="1"/>
      <c r="O667" s="1"/>
      <c r="P667" s="1"/>
      <c r="Q667" s="1"/>
      <c r="R667" s="1"/>
      <c r="S667" s="1"/>
      <c r="T667" s="1"/>
      <c r="U667" s="1"/>
      <c r="V667" s="1"/>
      <c r="W667" s="1"/>
    </row>
    <row r="668" spans="1:23">
      <c r="A668" s="223"/>
      <c r="B668" s="1"/>
      <c r="C668" s="1"/>
      <c r="D668" s="1"/>
      <c r="E668" s="1"/>
      <c r="F668" s="1"/>
      <c r="G668" s="1"/>
      <c r="H668" s="1"/>
      <c r="I668" s="1"/>
      <c r="J668" s="1"/>
      <c r="K668" s="1"/>
      <c r="L668" s="1"/>
      <c r="M668" s="1"/>
      <c r="N668" s="1"/>
      <c r="O668" s="1"/>
      <c r="P668" s="1"/>
      <c r="Q668" s="1"/>
      <c r="R668" s="1"/>
      <c r="S668" s="1"/>
      <c r="T668" s="1"/>
      <c r="U668" s="1"/>
      <c r="V668" s="1"/>
      <c r="W668" s="1"/>
    </row>
    <row r="669" spans="1:23">
      <c r="A669" s="223"/>
      <c r="B669" s="1"/>
      <c r="C669" s="1"/>
      <c r="D669" s="1"/>
      <c r="E669" s="1"/>
      <c r="F669" s="1"/>
      <c r="G669" s="1"/>
      <c r="H669" s="1"/>
      <c r="I669" s="1"/>
      <c r="J669" s="1"/>
      <c r="K669" s="1"/>
      <c r="L669" s="1"/>
      <c r="M669" s="1"/>
      <c r="N669" s="1"/>
      <c r="O669" s="1"/>
      <c r="P669" s="1"/>
      <c r="Q669" s="1"/>
      <c r="R669" s="1"/>
      <c r="S669" s="1"/>
      <c r="T669" s="1"/>
      <c r="U669" s="1"/>
      <c r="V669" s="1"/>
      <c r="W669" s="1"/>
    </row>
    <row r="670" spans="1:23">
      <c r="A670" s="223"/>
      <c r="B670" s="1"/>
      <c r="C670" s="1"/>
      <c r="D670" s="1"/>
      <c r="E670" s="1"/>
      <c r="F670" s="1"/>
      <c r="G670" s="1"/>
      <c r="H670" s="1"/>
      <c r="I670" s="1"/>
      <c r="J670" s="1"/>
      <c r="K670" s="1"/>
      <c r="L670" s="1"/>
      <c r="M670" s="1"/>
      <c r="N670" s="1"/>
      <c r="O670" s="1"/>
      <c r="P670" s="1"/>
      <c r="Q670" s="1"/>
      <c r="R670" s="1"/>
      <c r="S670" s="1"/>
      <c r="T670" s="1"/>
      <c r="U670" s="1"/>
      <c r="V670" s="1"/>
      <c r="W670" s="1"/>
    </row>
    <row r="671" spans="1:23">
      <c r="A671" s="223"/>
      <c r="B671" s="1"/>
      <c r="C671" s="1"/>
      <c r="D671" s="1"/>
      <c r="E671" s="1"/>
      <c r="F671" s="1"/>
      <c r="G671" s="1"/>
      <c r="H671" s="1"/>
      <c r="I671" s="1"/>
      <c r="J671" s="1"/>
      <c r="K671" s="1"/>
      <c r="L671" s="1"/>
      <c r="M671" s="1"/>
      <c r="N671" s="1"/>
      <c r="O671" s="1"/>
      <c r="P671" s="1"/>
      <c r="Q671" s="1"/>
      <c r="R671" s="1"/>
      <c r="S671" s="1"/>
      <c r="T671" s="1"/>
      <c r="U671" s="1"/>
      <c r="V671" s="1"/>
      <c r="W671" s="1"/>
    </row>
    <row r="672" spans="1:23">
      <c r="A672" s="223"/>
      <c r="B672" s="1"/>
      <c r="C672" s="1"/>
      <c r="D672" s="1"/>
      <c r="E672" s="1"/>
      <c r="F672" s="1"/>
      <c r="G672" s="1"/>
      <c r="H672" s="1"/>
      <c r="I672" s="1"/>
      <c r="J672" s="1"/>
      <c r="K672" s="1"/>
      <c r="L672" s="1"/>
      <c r="M672" s="1"/>
      <c r="N672" s="1"/>
      <c r="O672" s="1"/>
      <c r="P672" s="1"/>
      <c r="Q672" s="1"/>
      <c r="R672" s="1"/>
      <c r="S672" s="1"/>
      <c r="T672" s="1"/>
      <c r="U672" s="1"/>
      <c r="V672" s="1"/>
      <c r="W672" s="1"/>
    </row>
    <row r="673" spans="1:23">
      <c r="A673" s="223"/>
      <c r="B673" s="1"/>
      <c r="C673" s="1"/>
      <c r="D673" s="1"/>
      <c r="E673" s="1"/>
      <c r="F673" s="1"/>
      <c r="G673" s="1"/>
      <c r="H673" s="1"/>
      <c r="I673" s="1"/>
      <c r="J673" s="1"/>
      <c r="K673" s="1"/>
      <c r="L673" s="1"/>
      <c r="M673" s="1"/>
      <c r="N673" s="1"/>
      <c r="O673" s="1"/>
      <c r="P673" s="1"/>
      <c r="Q673" s="1"/>
      <c r="R673" s="1"/>
      <c r="S673" s="1"/>
      <c r="T673" s="1"/>
      <c r="U673" s="1"/>
      <c r="V673" s="1"/>
      <c r="W673" s="1"/>
    </row>
    <row r="674" spans="1:23">
      <c r="A674" s="223"/>
      <c r="B674" s="1"/>
      <c r="C674" s="1"/>
      <c r="D674" s="1"/>
      <c r="E674" s="1"/>
      <c r="F674" s="1"/>
      <c r="G674" s="1"/>
      <c r="H674" s="1"/>
      <c r="I674" s="1"/>
      <c r="J674" s="1"/>
      <c r="K674" s="1"/>
      <c r="L674" s="1"/>
      <c r="M674" s="1"/>
      <c r="N674" s="1"/>
      <c r="O674" s="1"/>
      <c r="P674" s="1"/>
      <c r="Q674" s="1"/>
      <c r="R674" s="1"/>
      <c r="S674" s="1"/>
      <c r="T674" s="1"/>
      <c r="U674" s="1"/>
      <c r="V674" s="1"/>
      <c r="W674" s="1"/>
    </row>
    <row r="675" spans="1:23">
      <c r="A675" s="223"/>
      <c r="B675" s="1"/>
      <c r="C675" s="1"/>
      <c r="D675" s="1"/>
      <c r="E675" s="1"/>
      <c r="F675" s="1"/>
      <c r="G675" s="1"/>
      <c r="H675" s="1"/>
      <c r="I675" s="1"/>
      <c r="J675" s="1"/>
      <c r="K675" s="1"/>
      <c r="L675" s="1"/>
      <c r="M675" s="1"/>
      <c r="N675" s="1"/>
      <c r="O675" s="1"/>
      <c r="P675" s="1"/>
      <c r="Q675" s="1"/>
      <c r="R675" s="1"/>
      <c r="S675" s="1"/>
      <c r="T675" s="1"/>
      <c r="U675" s="1"/>
      <c r="V675" s="1"/>
      <c r="W675" s="1"/>
    </row>
    <row r="676" spans="1:23">
      <c r="A676" s="223"/>
      <c r="B676" s="1"/>
      <c r="C676" s="1"/>
      <c r="D676" s="1"/>
      <c r="E676" s="1"/>
      <c r="F676" s="1"/>
      <c r="G676" s="1"/>
      <c r="H676" s="1"/>
      <c r="I676" s="1"/>
      <c r="J676" s="1"/>
      <c r="K676" s="1"/>
      <c r="L676" s="1"/>
      <c r="M676" s="1"/>
      <c r="N676" s="1"/>
      <c r="O676" s="1"/>
      <c r="P676" s="1"/>
      <c r="Q676" s="1"/>
      <c r="R676" s="1"/>
      <c r="S676" s="1"/>
      <c r="T676" s="1"/>
      <c r="U676" s="1"/>
      <c r="V676" s="1"/>
      <c r="W676" s="1"/>
    </row>
    <row r="677" spans="1:23">
      <c r="A677" s="223"/>
      <c r="B677" s="1"/>
      <c r="C677" s="1"/>
      <c r="D677" s="1"/>
      <c r="E677" s="1"/>
      <c r="F677" s="1"/>
      <c r="G677" s="1"/>
      <c r="H677" s="1"/>
      <c r="I677" s="1"/>
      <c r="J677" s="1"/>
      <c r="K677" s="1"/>
      <c r="L677" s="1"/>
      <c r="M677" s="1"/>
      <c r="N677" s="1"/>
      <c r="O677" s="1"/>
      <c r="P677" s="1"/>
      <c r="Q677" s="1"/>
      <c r="R677" s="1"/>
      <c r="S677" s="1"/>
      <c r="T677" s="1"/>
      <c r="U677" s="1"/>
      <c r="V677" s="1"/>
      <c r="W677" s="1"/>
    </row>
    <row r="678" spans="1:23">
      <c r="A678" s="223"/>
      <c r="B678" s="1"/>
      <c r="C678" s="1"/>
      <c r="D678" s="1"/>
      <c r="E678" s="1"/>
      <c r="F678" s="1"/>
      <c r="G678" s="1"/>
      <c r="H678" s="1"/>
      <c r="I678" s="1"/>
      <c r="J678" s="1"/>
      <c r="K678" s="1"/>
      <c r="L678" s="1"/>
      <c r="M678" s="1"/>
      <c r="N678" s="1"/>
      <c r="O678" s="1"/>
      <c r="P678" s="1"/>
      <c r="Q678" s="1"/>
      <c r="R678" s="1"/>
      <c r="S678" s="1"/>
      <c r="T678" s="1"/>
      <c r="U678" s="1"/>
      <c r="V678" s="1"/>
      <c r="W678" s="1"/>
    </row>
    <row r="679" spans="1:23">
      <c r="A679" s="223"/>
      <c r="B679" s="1"/>
      <c r="C679" s="1"/>
      <c r="D679" s="1"/>
      <c r="E679" s="1"/>
      <c r="F679" s="1"/>
      <c r="G679" s="1"/>
      <c r="H679" s="1"/>
      <c r="I679" s="1"/>
      <c r="J679" s="1"/>
      <c r="K679" s="1"/>
      <c r="L679" s="1"/>
      <c r="M679" s="1"/>
      <c r="N679" s="1"/>
      <c r="O679" s="1"/>
      <c r="P679" s="1"/>
      <c r="Q679" s="1"/>
      <c r="R679" s="1"/>
      <c r="S679" s="1"/>
      <c r="T679" s="1"/>
      <c r="U679" s="1"/>
      <c r="V679" s="1"/>
      <c r="W679" s="1"/>
    </row>
    <row r="680" spans="1:23">
      <c r="A680" s="223"/>
      <c r="B680" s="1"/>
      <c r="C680" s="1"/>
      <c r="D680" s="1"/>
      <c r="E680" s="1"/>
      <c r="F680" s="1"/>
      <c r="G680" s="1"/>
      <c r="H680" s="1"/>
      <c r="I680" s="1"/>
      <c r="J680" s="1"/>
      <c r="K680" s="1"/>
      <c r="L680" s="1"/>
      <c r="M680" s="1"/>
      <c r="N680" s="1"/>
      <c r="O680" s="1"/>
      <c r="P680" s="1"/>
      <c r="Q680" s="1"/>
      <c r="R680" s="1"/>
      <c r="S680" s="1"/>
      <c r="T680" s="1"/>
      <c r="U680" s="1"/>
      <c r="V680" s="1"/>
      <c r="W680" s="1"/>
    </row>
    <row r="681" spans="1:23">
      <c r="A681" s="223"/>
      <c r="B681" s="1"/>
      <c r="C681" s="1"/>
      <c r="D681" s="1"/>
      <c r="E681" s="1"/>
      <c r="F681" s="1"/>
      <c r="G681" s="1"/>
      <c r="H681" s="1"/>
      <c r="I681" s="1"/>
      <c r="J681" s="1"/>
      <c r="K681" s="1"/>
      <c r="L681" s="1"/>
      <c r="M681" s="1"/>
      <c r="N681" s="1"/>
      <c r="O681" s="1"/>
      <c r="P681" s="1"/>
      <c r="Q681" s="1"/>
      <c r="R681" s="1"/>
      <c r="S681" s="1"/>
      <c r="T681" s="1"/>
      <c r="U681" s="1"/>
      <c r="V681" s="1"/>
      <c r="W681" s="1"/>
    </row>
    <row r="682" spans="1:23">
      <c r="A682" s="223"/>
      <c r="B682" s="1"/>
      <c r="C682" s="1"/>
      <c r="D682" s="1"/>
      <c r="E682" s="1"/>
      <c r="F682" s="1"/>
      <c r="G682" s="1"/>
      <c r="H682" s="1"/>
      <c r="I682" s="1"/>
      <c r="J682" s="1"/>
      <c r="K682" s="1"/>
      <c r="L682" s="1"/>
      <c r="M682" s="1"/>
      <c r="N682" s="1"/>
      <c r="O682" s="1"/>
      <c r="P682" s="1"/>
      <c r="Q682" s="1"/>
      <c r="R682" s="1"/>
      <c r="S682" s="1"/>
      <c r="T682" s="1"/>
      <c r="U682" s="1"/>
      <c r="V682" s="1"/>
      <c r="W682" s="1"/>
    </row>
    <row r="683" spans="1:23">
      <c r="A683" s="223"/>
      <c r="B683" s="1"/>
      <c r="C683" s="1"/>
      <c r="D683" s="1"/>
      <c r="E683" s="1"/>
      <c r="F683" s="1"/>
      <c r="G683" s="1"/>
      <c r="H683" s="1"/>
      <c r="I683" s="1"/>
      <c r="J683" s="1"/>
      <c r="K683" s="1"/>
      <c r="L683" s="1"/>
      <c r="M683" s="1"/>
      <c r="N683" s="1"/>
      <c r="O683" s="1"/>
      <c r="P683" s="1"/>
      <c r="Q683" s="1"/>
      <c r="R683" s="1"/>
      <c r="S683" s="1"/>
      <c r="T683" s="1"/>
      <c r="U683" s="1"/>
      <c r="V683" s="1"/>
      <c r="W683" s="1"/>
    </row>
    <row r="684" spans="1:23">
      <c r="A684" s="223"/>
      <c r="B684" s="1"/>
      <c r="C684" s="1"/>
      <c r="D684" s="1"/>
      <c r="E684" s="1"/>
      <c r="F684" s="1"/>
      <c r="G684" s="1"/>
      <c r="H684" s="1"/>
      <c r="I684" s="1"/>
      <c r="J684" s="1"/>
      <c r="K684" s="1"/>
      <c r="L684" s="1"/>
      <c r="M684" s="1"/>
      <c r="N684" s="1"/>
      <c r="O684" s="1"/>
      <c r="P684" s="1"/>
      <c r="Q684" s="1"/>
      <c r="R684" s="1"/>
      <c r="S684" s="1"/>
      <c r="T684" s="1"/>
      <c r="U684" s="1"/>
      <c r="V684" s="1"/>
      <c r="W684" s="1"/>
    </row>
    <row r="685" spans="1:23">
      <c r="A685" s="223"/>
      <c r="B685" s="1"/>
      <c r="C685" s="1"/>
      <c r="D685" s="1"/>
      <c r="E685" s="1"/>
      <c r="F685" s="1"/>
      <c r="G685" s="1"/>
      <c r="H685" s="1"/>
      <c r="I685" s="1"/>
      <c r="J685" s="1"/>
      <c r="K685" s="1"/>
      <c r="L685" s="1"/>
      <c r="M685" s="1"/>
      <c r="N685" s="1"/>
      <c r="O685" s="1"/>
      <c r="P685" s="1"/>
      <c r="Q685" s="1"/>
      <c r="R685" s="1"/>
      <c r="S685" s="1"/>
      <c r="T685" s="1"/>
      <c r="U685" s="1"/>
      <c r="V685" s="1"/>
      <c r="W685" s="1"/>
    </row>
    <row r="686" spans="1:23">
      <c r="A686" s="223"/>
      <c r="B686" s="1"/>
      <c r="C686" s="1"/>
      <c r="D686" s="1"/>
      <c r="E686" s="1"/>
      <c r="F686" s="1"/>
      <c r="G686" s="1"/>
      <c r="H686" s="1"/>
      <c r="I686" s="1"/>
      <c r="J686" s="1"/>
      <c r="K686" s="1"/>
      <c r="L686" s="1"/>
      <c r="M686" s="1"/>
      <c r="N686" s="1"/>
      <c r="O686" s="1"/>
      <c r="P686" s="1"/>
      <c r="Q686" s="1"/>
      <c r="R686" s="1"/>
      <c r="S686" s="1"/>
      <c r="T686" s="1"/>
      <c r="U686" s="1"/>
      <c r="V686" s="1"/>
      <c r="W686" s="1"/>
    </row>
    <row r="687" spans="1:23">
      <c r="A687" s="223"/>
      <c r="B687" s="1"/>
      <c r="C687" s="1"/>
      <c r="D687" s="1"/>
      <c r="E687" s="1"/>
      <c r="F687" s="1"/>
      <c r="G687" s="1"/>
      <c r="H687" s="1"/>
      <c r="I687" s="1"/>
      <c r="J687" s="1"/>
      <c r="K687" s="1"/>
      <c r="L687" s="1"/>
      <c r="M687" s="1"/>
      <c r="N687" s="1"/>
      <c r="O687" s="1"/>
      <c r="P687" s="1"/>
      <c r="Q687" s="1"/>
      <c r="R687" s="1"/>
      <c r="S687" s="1"/>
      <c r="T687" s="1"/>
      <c r="U687" s="1"/>
      <c r="V687" s="1"/>
      <c r="W687" s="1"/>
    </row>
    <row r="688" spans="1:23">
      <c r="A688" s="223"/>
      <c r="B688" s="1"/>
      <c r="C688" s="1"/>
      <c r="D688" s="1"/>
      <c r="E688" s="1"/>
      <c r="F688" s="1"/>
      <c r="G688" s="1"/>
      <c r="H688" s="1"/>
      <c r="I688" s="1"/>
      <c r="J688" s="1"/>
      <c r="K688" s="1"/>
      <c r="L688" s="1"/>
      <c r="M688" s="1"/>
      <c r="N688" s="1"/>
      <c r="O688" s="1"/>
      <c r="P688" s="1"/>
      <c r="Q688" s="1"/>
      <c r="R688" s="1"/>
      <c r="S688" s="1"/>
      <c r="T688" s="1"/>
      <c r="U688" s="1"/>
      <c r="V688" s="1"/>
      <c r="W688" s="1"/>
    </row>
    <row r="689" spans="1:23">
      <c r="A689" s="223"/>
      <c r="B689" s="1"/>
      <c r="C689" s="1"/>
      <c r="D689" s="1"/>
      <c r="E689" s="1"/>
      <c r="F689" s="1"/>
      <c r="G689" s="1"/>
      <c r="H689" s="1"/>
      <c r="I689" s="1"/>
      <c r="J689" s="1"/>
      <c r="K689" s="1"/>
      <c r="L689" s="1"/>
      <c r="M689" s="1"/>
      <c r="N689" s="1"/>
      <c r="O689" s="1"/>
      <c r="P689" s="1"/>
      <c r="Q689" s="1"/>
      <c r="R689" s="1"/>
      <c r="S689" s="1"/>
      <c r="T689" s="1"/>
      <c r="U689" s="1"/>
      <c r="V689" s="1"/>
      <c r="W689" s="1"/>
    </row>
    <row r="690" spans="1:23">
      <c r="A690" s="223"/>
      <c r="B690" s="1"/>
      <c r="C690" s="1"/>
      <c r="D690" s="1"/>
      <c r="E690" s="1"/>
      <c r="F690" s="1"/>
      <c r="G690" s="1"/>
      <c r="H690" s="1"/>
      <c r="I690" s="1"/>
      <c r="J690" s="1"/>
      <c r="K690" s="1"/>
      <c r="L690" s="1"/>
      <c r="M690" s="1"/>
      <c r="N690" s="1"/>
      <c r="O690" s="1"/>
      <c r="P690" s="1"/>
      <c r="Q690" s="1"/>
      <c r="R690" s="1"/>
      <c r="S690" s="1"/>
      <c r="T690" s="1"/>
      <c r="U690" s="1"/>
      <c r="V690" s="1"/>
      <c r="W690" s="1"/>
    </row>
    <row r="691" spans="1:23">
      <c r="A691" s="223"/>
      <c r="B691" s="1"/>
      <c r="C691" s="1"/>
      <c r="D691" s="1"/>
      <c r="E691" s="1"/>
      <c r="F691" s="1"/>
      <c r="G691" s="1"/>
      <c r="H691" s="1"/>
      <c r="I691" s="1"/>
      <c r="J691" s="1"/>
      <c r="K691" s="1"/>
      <c r="L691" s="1"/>
      <c r="M691" s="1"/>
      <c r="N691" s="1"/>
      <c r="O691" s="1"/>
      <c r="P691" s="1"/>
      <c r="Q691" s="1"/>
      <c r="R691" s="1"/>
      <c r="S691" s="1"/>
      <c r="T691" s="1"/>
      <c r="U691" s="1"/>
      <c r="V691" s="1"/>
      <c r="W691" s="1"/>
    </row>
    <row r="692" spans="1:23">
      <c r="A692" s="223"/>
      <c r="B692" s="1"/>
      <c r="C692" s="1"/>
      <c r="D692" s="1"/>
      <c r="E692" s="1"/>
      <c r="F692" s="1"/>
      <c r="G692" s="1"/>
      <c r="H692" s="1"/>
      <c r="I692" s="1"/>
      <c r="J692" s="1"/>
      <c r="K692" s="1"/>
      <c r="L692" s="1"/>
      <c r="M692" s="1"/>
      <c r="N692" s="1"/>
      <c r="O692" s="1"/>
      <c r="P692" s="1"/>
      <c r="Q692" s="1"/>
      <c r="R692" s="1"/>
      <c r="S692" s="1"/>
      <c r="T692" s="1"/>
      <c r="U692" s="1"/>
      <c r="V692" s="1"/>
      <c r="W692" s="1"/>
    </row>
    <row r="693" spans="1:23">
      <c r="A693" s="223"/>
      <c r="B693" s="1"/>
      <c r="C693" s="1"/>
      <c r="D693" s="1"/>
      <c r="E693" s="1"/>
      <c r="F693" s="1"/>
      <c r="G693" s="1"/>
      <c r="H693" s="1"/>
      <c r="I693" s="1"/>
      <c r="J693" s="1"/>
      <c r="K693" s="1"/>
      <c r="L693" s="1"/>
      <c r="M693" s="1"/>
      <c r="N693" s="1"/>
      <c r="O693" s="1"/>
      <c r="P693" s="1"/>
      <c r="Q693" s="1"/>
      <c r="R693" s="1"/>
      <c r="S693" s="1"/>
      <c r="T693" s="1"/>
      <c r="U693" s="1"/>
      <c r="V693" s="1"/>
      <c r="W693" s="1"/>
    </row>
    <row r="694" spans="1:23">
      <c r="A694" s="223"/>
      <c r="B694" s="1"/>
      <c r="C694" s="1"/>
      <c r="D694" s="1"/>
      <c r="E694" s="1"/>
      <c r="F694" s="1"/>
      <c r="G694" s="1"/>
      <c r="H694" s="1"/>
      <c r="I694" s="1"/>
      <c r="J694" s="1"/>
      <c r="K694" s="1"/>
      <c r="L694" s="1"/>
      <c r="M694" s="1"/>
      <c r="N694" s="1"/>
      <c r="O694" s="1"/>
      <c r="P694" s="1"/>
      <c r="Q694" s="1"/>
      <c r="R694" s="1"/>
      <c r="S694" s="1"/>
      <c r="T694" s="1"/>
      <c r="U694" s="1"/>
      <c r="V694" s="1"/>
      <c r="W694" s="1"/>
    </row>
    <row r="695" spans="1:23">
      <c r="A695" s="223"/>
      <c r="B695" s="1"/>
      <c r="C695" s="1"/>
      <c r="D695" s="1"/>
      <c r="E695" s="1"/>
      <c r="F695" s="1"/>
      <c r="G695" s="1"/>
      <c r="H695" s="1"/>
      <c r="I695" s="1"/>
      <c r="J695" s="1"/>
      <c r="K695" s="1"/>
      <c r="L695" s="1"/>
      <c r="M695" s="1"/>
      <c r="N695" s="1"/>
      <c r="O695" s="1"/>
      <c r="P695" s="1"/>
      <c r="Q695" s="1"/>
      <c r="R695" s="1"/>
      <c r="S695" s="1"/>
      <c r="T695" s="1"/>
      <c r="U695" s="1"/>
      <c r="V695" s="1"/>
      <c r="W695" s="1"/>
    </row>
    <row r="696" spans="1:23">
      <c r="A696" s="223"/>
      <c r="B696" s="1"/>
      <c r="C696" s="1"/>
      <c r="D696" s="1"/>
      <c r="E696" s="1"/>
      <c r="F696" s="1"/>
      <c r="G696" s="1"/>
      <c r="H696" s="1"/>
      <c r="I696" s="1"/>
      <c r="J696" s="1"/>
      <c r="K696" s="1"/>
      <c r="L696" s="1"/>
      <c r="M696" s="1"/>
      <c r="N696" s="1"/>
      <c r="O696" s="1"/>
      <c r="P696" s="1"/>
      <c r="Q696" s="1"/>
      <c r="R696" s="1"/>
      <c r="S696" s="1"/>
      <c r="T696" s="1"/>
      <c r="U696" s="1"/>
      <c r="V696" s="1"/>
      <c r="W696" s="1"/>
    </row>
    <row r="697" spans="1:23">
      <c r="A697" s="223"/>
      <c r="B697" s="1"/>
      <c r="C697" s="1"/>
      <c r="D697" s="1"/>
      <c r="E697" s="1"/>
      <c r="F697" s="1"/>
      <c r="G697" s="1"/>
      <c r="H697" s="1"/>
      <c r="I697" s="1"/>
      <c r="J697" s="1"/>
      <c r="K697" s="1"/>
      <c r="L697" s="1"/>
      <c r="M697" s="1"/>
      <c r="N697" s="1"/>
      <c r="O697" s="1"/>
      <c r="P697" s="1"/>
      <c r="Q697" s="1"/>
      <c r="R697" s="1"/>
      <c r="S697" s="1"/>
      <c r="T697" s="1"/>
      <c r="U697" s="1"/>
      <c r="V697" s="1"/>
      <c r="W697" s="1"/>
    </row>
    <row r="698" spans="1:23">
      <c r="A698" s="223"/>
      <c r="B698" s="1"/>
      <c r="C698" s="1"/>
      <c r="D698" s="1"/>
      <c r="E698" s="1"/>
      <c r="F698" s="1"/>
      <c r="G698" s="1"/>
      <c r="H698" s="1"/>
      <c r="I698" s="1"/>
      <c r="J698" s="1"/>
      <c r="K698" s="1"/>
      <c r="L698" s="1"/>
      <c r="M698" s="1"/>
      <c r="N698" s="1"/>
      <c r="O698" s="1"/>
      <c r="P698" s="1"/>
      <c r="Q698" s="1"/>
      <c r="R698" s="1"/>
      <c r="S698" s="1"/>
      <c r="T698" s="1"/>
      <c r="U698" s="1"/>
      <c r="V698" s="1"/>
      <c r="W698" s="1"/>
    </row>
    <row r="699" spans="1:23">
      <c r="A699" s="223"/>
      <c r="B699" s="1"/>
      <c r="C699" s="1"/>
      <c r="D699" s="1"/>
      <c r="E699" s="1"/>
      <c r="F699" s="1"/>
      <c r="G699" s="1"/>
      <c r="H699" s="1"/>
      <c r="I699" s="1"/>
      <c r="J699" s="1"/>
      <c r="K699" s="1"/>
      <c r="L699" s="1"/>
      <c r="M699" s="1"/>
      <c r="N699" s="1"/>
      <c r="O699" s="1"/>
      <c r="P699" s="1"/>
      <c r="Q699" s="1"/>
      <c r="R699" s="1"/>
      <c r="S699" s="1"/>
      <c r="T699" s="1"/>
      <c r="U699" s="1"/>
      <c r="V699" s="1"/>
      <c r="W699" s="1"/>
    </row>
    <row r="700" spans="1:23">
      <c r="A700" s="223"/>
      <c r="B700" s="1"/>
      <c r="C700" s="1"/>
      <c r="D700" s="1"/>
      <c r="E700" s="1"/>
      <c r="F700" s="1"/>
      <c r="G700" s="1"/>
      <c r="H700" s="1"/>
      <c r="I700" s="1"/>
      <c r="J700" s="1"/>
      <c r="K700" s="1"/>
      <c r="L700" s="1"/>
      <c r="M700" s="1"/>
      <c r="N700" s="1"/>
      <c r="O700" s="1"/>
      <c r="P700" s="1"/>
      <c r="Q700" s="1"/>
      <c r="R700" s="1"/>
      <c r="S700" s="1"/>
      <c r="T700" s="1"/>
      <c r="U700" s="1"/>
      <c r="V700" s="1"/>
      <c r="W700" s="1"/>
    </row>
    <row r="701" spans="1:23">
      <c r="A701" s="223"/>
      <c r="B701" s="1"/>
      <c r="C701" s="1"/>
      <c r="D701" s="1"/>
      <c r="E701" s="1"/>
      <c r="F701" s="1"/>
      <c r="G701" s="1"/>
      <c r="H701" s="1"/>
      <c r="I701" s="1"/>
      <c r="J701" s="1"/>
      <c r="K701" s="1"/>
      <c r="L701" s="1"/>
      <c r="M701" s="1"/>
      <c r="N701" s="1"/>
      <c r="O701" s="1"/>
      <c r="P701" s="1"/>
      <c r="Q701" s="1"/>
      <c r="R701" s="1"/>
      <c r="S701" s="1"/>
      <c r="T701" s="1"/>
      <c r="U701" s="1"/>
      <c r="V701" s="1"/>
      <c r="W701" s="1"/>
    </row>
    <row r="702" spans="1:23">
      <c r="A702" s="223"/>
      <c r="B702" s="1"/>
      <c r="C702" s="1"/>
      <c r="D702" s="1"/>
      <c r="E702" s="1"/>
      <c r="F702" s="1"/>
      <c r="G702" s="1"/>
      <c r="H702" s="1"/>
      <c r="I702" s="1"/>
      <c r="J702" s="1"/>
      <c r="K702" s="1"/>
      <c r="L702" s="1"/>
      <c r="M702" s="1"/>
      <c r="N702" s="1"/>
      <c r="O702" s="1"/>
      <c r="P702" s="1"/>
      <c r="Q702" s="1"/>
      <c r="R702" s="1"/>
      <c r="S702" s="1"/>
      <c r="T702" s="1"/>
      <c r="U702" s="1"/>
      <c r="V702" s="1"/>
      <c r="W702" s="1"/>
    </row>
    <row r="703" spans="1:23">
      <c r="A703" s="223"/>
      <c r="B703" s="1"/>
      <c r="C703" s="1"/>
      <c r="D703" s="1"/>
      <c r="E703" s="1"/>
      <c r="F703" s="1"/>
      <c r="G703" s="1"/>
      <c r="H703" s="1"/>
      <c r="I703" s="1"/>
      <c r="J703" s="1"/>
      <c r="K703" s="1"/>
      <c r="L703" s="1"/>
      <c r="M703" s="1"/>
      <c r="N703" s="1"/>
      <c r="O703" s="1"/>
      <c r="P703" s="1"/>
      <c r="Q703" s="1"/>
      <c r="R703" s="1"/>
      <c r="S703" s="1"/>
      <c r="T703" s="1"/>
      <c r="U703" s="1"/>
      <c r="V703" s="1"/>
      <c r="W703" s="1"/>
    </row>
    <row r="704" spans="1:23">
      <c r="A704" s="223"/>
      <c r="B704" s="1"/>
      <c r="C704" s="1"/>
      <c r="D704" s="1"/>
      <c r="E704" s="1"/>
      <c r="F704" s="1"/>
      <c r="G704" s="1"/>
      <c r="H704" s="1"/>
      <c r="I704" s="1"/>
      <c r="J704" s="1"/>
      <c r="K704" s="1"/>
      <c r="L704" s="1"/>
      <c r="M704" s="1"/>
      <c r="N704" s="1"/>
      <c r="O704" s="1"/>
      <c r="P704" s="1"/>
      <c r="Q704" s="1"/>
      <c r="R704" s="1"/>
      <c r="S704" s="1"/>
      <c r="T704" s="1"/>
      <c r="U704" s="1"/>
      <c r="V704" s="1"/>
      <c r="W704" s="1"/>
    </row>
    <row r="705" spans="1:23">
      <c r="A705" s="223"/>
      <c r="B705" s="1"/>
      <c r="C705" s="1"/>
      <c r="D705" s="1"/>
      <c r="E705" s="1"/>
      <c r="F705" s="1"/>
      <c r="G705" s="1"/>
      <c r="H705" s="1"/>
      <c r="I705" s="1"/>
      <c r="J705" s="1"/>
      <c r="K705" s="1"/>
      <c r="L705" s="1"/>
      <c r="M705" s="1"/>
      <c r="N705" s="1"/>
      <c r="O705" s="1"/>
      <c r="P705" s="1"/>
      <c r="Q705" s="1"/>
      <c r="R705" s="1"/>
      <c r="S705" s="1"/>
      <c r="T705" s="1"/>
      <c r="U705" s="1"/>
      <c r="V705" s="1"/>
      <c r="W705" s="1"/>
    </row>
    <row r="706" spans="1:23">
      <c r="A706" s="223"/>
      <c r="B706" s="1"/>
      <c r="C706" s="1"/>
      <c r="D706" s="1"/>
      <c r="E706" s="1"/>
      <c r="F706" s="1"/>
      <c r="G706" s="1"/>
      <c r="H706" s="1"/>
      <c r="I706" s="1"/>
      <c r="J706" s="1"/>
      <c r="K706" s="1"/>
      <c r="L706" s="1"/>
      <c r="M706" s="1"/>
      <c r="N706" s="1"/>
      <c r="O706" s="1"/>
      <c r="P706" s="1"/>
      <c r="Q706" s="1"/>
      <c r="R706" s="1"/>
      <c r="S706" s="1"/>
      <c r="T706" s="1"/>
      <c r="U706" s="1"/>
      <c r="V706" s="1"/>
      <c r="W706" s="1"/>
    </row>
    <row r="707" spans="1:23">
      <c r="A707" s="223"/>
      <c r="B707" s="1"/>
      <c r="C707" s="1"/>
      <c r="D707" s="1"/>
      <c r="E707" s="1"/>
      <c r="F707" s="1"/>
      <c r="G707" s="1"/>
      <c r="H707" s="1"/>
      <c r="I707" s="1"/>
      <c r="J707" s="1"/>
      <c r="K707" s="1"/>
      <c r="L707" s="1"/>
      <c r="M707" s="1"/>
      <c r="N707" s="1"/>
      <c r="O707" s="1"/>
      <c r="P707" s="1"/>
      <c r="Q707" s="1"/>
      <c r="R707" s="1"/>
      <c r="S707" s="1"/>
      <c r="T707" s="1"/>
      <c r="U707" s="1"/>
      <c r="V707" s="1"/>
      <c r="W707" s="1"/>
    </row>
    <row r="708" spans="1:23">
      <c r="A708" s="223"/>
      <c r="B708" s="1"/>
      <c r="C708" s="1"/>
      <c r="D708" s="1"/>
      <c r="E708" s="1"/>
      <c r="F708" s="1"/>
      <c r="G708" s="1"/>
      <c r="H708" s="1"/>
      <c r="I708" s="1"/>
      <c r="J708" s="1"/>
      <c r="K708" s="1"/>
      <c r="L708" s="1"/>
      <c r="M708" s="1"/>
      <c r="N708" s="1"/>
      <c r="O708" s="1"/>
      <c r="P708" s="1"/>
      <c r="Q708" s="1"/>
      <c r="R708" s="1"/>
      <c r="S708" s="1"/>
      <c r="T708" s="1"/>
      <c r="U708" s="1"/>
      <c r="V708" s="1"/>
      <c r="W708" s="1"/>
    </row>
    <row r="709" spans="1:23">
      <c r="A709" s="223"/>
      <c r="B709" s="1"/>
      <c r="C709" s="1"/>
      <c r="D709" s="1"/>
      <c r="E709" s="1"/>
      <c r="F709" s="1"/>
      <c r="G709" s="1"/>
      <c r="H709" s="1"/>
      <c r="I709" s="1"/>
      <c r="J709" s="1"/>
      <c r="K709" s="1"/>
      <c r="L709" s="1"/>
      <c r="M709" s="1"/>
      <c r="N709" s="1"/>
      <c r="O709" s="1"/>
      <c r="P709" s="1"/>
      <c r="Q709" s="1"/>
      <c r="R709" s="1"/>
      <c r="S709" s="1"/>
      <c r="T709" s="1"/>
      <c r="U709" s="1"/>
      <c r="V709" s="1"/>
      <c r="W709" s="1"/>
    </row>
    <row r="710" spans="1:23">
      <c r="A710" s="223"/>
      <c r="B710" s="1"/>
      <c r="C710" s="1"/>
      <c r="D710" s="1"/>
      <c r="E710" s="1"/>
      <c r="F710" s="1"/>
      <c r="G710" s="1"/>
      <c r="H710" s="1"/>
      <c r="I710" s="1"/>
      <c r="J710" s="1"/>
      <c r="K710" s="1"/>
      <c r="L710" s="1"/>
      <c r="M710" s="1"/>
      <c r="N710" s="1"/>
      <c r="O710" s="1"/>
      <c r="P710" s="1"/>
      <c r="Q710" s="1"/>
      <c r="R710" s="1"/>
      <c r="S710" s="1"/>
      <c r="T710" s="1"/>
      <c r="U710" s="1"/>
      <c r="V710" s="1"/>
      <c r="W710" s="1"/>
    </row>
    <row r="711" spans="1:23">
      <c r="A711" s="223"/>
      <c r="B711" s="1"/>
      <c r="C711" s="1"/>
      <c r="D711" s="1"/>
      <c r="E711" s="1"/>
      <c r="F711" s="1"/>
      <c r="G711" s="1"/>
      <c r="H711" s="1"/>
      <c r="I711" s="1"/>
      <c r="J711" s="1"/>
      <c r="K711" s="1"/>
      <c r="L711" s="1"/>
      <c r="M711" s="1"/>
      <c r="N711" s="1"/>
      <c r="O711" s="1"/>
      <c r="P711" s="1"/>
      <c r="Q711" s="1"/>
      <c r="R711" s="1"/>
      <c r="S711" s="1"/>
      <c r="T711" s="1"/>
      <c r="U711" s="1"/>
      <c r="V711" s="1"/>
      <c r="W711" s="1"/>
    </row>
    <row r="712" spans="1:23">
      <c r="A712" s="223"/>
      <c r="B712" s="1"/>
      <c r="C712" s="1"/>
      <c r="D712" s="1"/>
      <c r="E712" s="1"/>
      <c r="F712" s="1"/>
      <c r="G712" s="1"/>
      <c r="H712" s="1"/>
      <c r="I712" s="1"/>
      <c r="J712" s="1"/>
      <c r="K712" s="1"/>
      <c r="L712" s="1"/>
      <c r="M712" s="1"/>
      <c r="N712" s="1"/>
      <c r="O712" s="1"/>
      <c r="P712" s="1"/>
      <c r="Q712" s="1"/>
      <c r="R712" s="1"/>
      <c r="S712" s="1"/>
      <c r="T712" s="1"/>
      <c r="U712" s="1"/>
      <c r="V712" s="1"/>
      <c r="W712" s="1"/>
    </row>
    <row r="713" spans="1:23">
      <c r="A713" s="223"/>
      <c r="B713" s="1"/>
      <c r="C713" s="1"/>
      <c r="D713" s="1"/>
      <c r="E713" s="1"/>
      <c r="F713" s="1"/>
      <c r="G713" s="1"/>
      <c r="H713" s="1"/>
      <c r="I713" s="1"/>
      <c r="J713" s="1"/>
      <c r="K713" s="1"/>
      <c r="L713" s="1"/>
      <c r="M713" s="1"/>
      <c r="N713" s="1"/>
      <c r="O713" s="1"/>
      <c r="P713" s="1"/>
      <c r="Q713" s="1"/>
      <c r="R713" s="1"/>
      <c r="S713" s="1"/>
      <c r="T713" s="1"/>
      <c r="U713" s="1"/>
      <c r="V713" s="1"/>
      <c r="W713" s="1"/>
    </row>
    <row r="714" spans="1:23">
      <c r="A714" s="223"/>
      <c r="B714" s="1"/>
      <c r="C714" s="1"/>
      <c r="D714" s="1"/>
      <c r="E714" s="1"/>
      <c r="F714" s="1"/>
      <c r="G714" s="1"/>
      <c r="H714" s="1"/>
      <c r="I714" s="1"/>
      <c r="J714" s="1"/>
      <c r="K714" s="1"/>
      <c r="L714" s="1"/>
      <c r="M714" s="1"/>
      <c r="N714" s="1"/>
      <c r="O714" s="1"/>
      <c r="P714" s="1"/>
      <c r="Q714" s="1"/>
      <c r="R714" s="1"/>
      <c r="S714" s="1"/>
      <c r="T714" s="1"/>
      <c r="U714" s="1"/>
      <c r="V714" s="1"/>
      <c r="W714" s="1"/>
    </row>
    <row r="715" spans="1:23">
      <c r="A715" s="223"/>
      <c r="B715" s="1"/>
      <c r="C715" s="1"/>
      <c r="D715" s="1"/>
      <c r="E715" s="1"/>
      <c r="F715" s="1"/>
      <c r="G715" s="1"/>
      <c r="H715" s="1"/>
      <c r="I715" s="1"/>
      <c r="J715" s="1"/>
      <c r="K715" s="1"/>
      <c r="L715" s="1"/>
      <c r="M715" s="1"/>
      <c r="N715" s="1"/>
      <c r="O715" s="1"/>
      <c r="P715" s="1"/>
      <c r="Q715" s="1"/>
      <c r="R715" s="1"/>
      <c r="S715" s="1"/>
      <c r="T715" s="1"/>
      <c r="U715" s="1"/>
      <c r="V715" s="1"/>
      <c r="W715" s="1"/>
    </row>
    <row r="716" spans="1:23">
      <c r="A716" s="223"/>
      <c r="B716" s="1"/>
      <c r="C716" s="1"/>
      <c r="D716" s="1"/>
      <c r="E716" s="1"/>
      <c r="F716" s="1"/>
      <c r="G716" s="1"/>
      <c r="H716" s="1"/>
      <c r="I716" s="1"/>
      <c r="J716" s="1"/>
      <c r="K716" s="1"/>
      <c r="L716" s="1"/>
      <c r="M716" s="1"/>
      <c r="N716" s="1"/>
      <c r="O716" s="1"/>
      <c r="P716" s="1"/>
      <c r="Q716" s="1"/>
      <c r="R716" s="1"/>
      <c r="S716" s="1"/>
      <c r="T716" s="1"/>
      <c r="U716" s="1"/>
      <c r="V716" s="1"/>
      <c r="W716" s="1"/>
    </row>
    <row r="717" spans="1:23">
      <c r="A717" s="223"/>
      <c r="B717" s="1"/>
      <c r="C717" s="1"/>
      <c r="D717" s="1"/>
      <c r="E717" s="1"/>
      <c r="F717" s="1"/>
      <c r="G717" s="1"/>
      <c r="H717" s="1"/>
      <c r="I717" s="1"/>
      <c r="J717" s="1"/>
      <c r="K717" s="1"/>
      <c r="L717" s="1"/>
      <c r="M717" s="1"/>
      <c r="N717" s="1"/>
      <c r="O717" s="1"/>
      <c r="P717" s="1"/>
      <c r="Q717" s="1"/>
      <c r="R717" s="1"/>
      <c r="S717" s="1"/>
      <c r="T717" s="1"/>
      <c r="U717" s="1"/>
      <c r="V717" s="1"/>
      <c r="W717" s="1"/>
    </row>
    <row r="718" spans="1:23">
      <c r="A718" s="223"/>
      <c r="B718" s="1"/>
      <c r="C718" s="1"/>
      <c r="D718" s="1"/>
      <c r="E718" s="1"/>
      <c r="F718" s="1"/>
      <c r="G718" s="1"/>
      <c r="H718" s="1"/>
      <c r="I718" s="1"/>
      <c r="J718" s="1"/>
      <c r="K718" s="1"/>
      <c r="L718" s="1"/>
      <c r="M718" s="1"/>
      <c r="N718" s="1"/>
      <c r="O718" s="1"/>
      <c r="P718" s="1"/>
      <c r="Q718" s="1"/>
      <c r="R718" s="1"/>
      <c r="S718" s="1"/>
      <c r="T718" s="1"/>
      <c r="U718" s="1"/>
      <c r="V718" s="1"/>
      <c r="W718" s="1"/>
    </row>
    <row r="719" spans="1:23">
      <c r="A719" s="223"/>
      <c r="B719" s="1"/>
      <c r="C719" s="1"/>
      <c r="D719" s="1"/>
      <c r="E719" s="1"/>
      <c r="F719" s="1"/>
      <c r="G719" s="1"/>
      <c r="H719" s="1"/>
      <c r="I719" s="1"/>
      <c r="J719" s="1"/>
      <c r="K719" s="1"/>
      <c r="L719" s="1"/>
      <c r="M719" s="1"/>
      <c r="N719" s="1"/>
      <c r="O719" s="1"/>
      <c r="P719" s="1"/>
      <c r="Q719" s="1"/>
      <c r="R719" s="1"/>
      <c r="S719" s="1"/>
      <c r="T719" s="1"/>
      <c r="U719" s="1"/>
      <c r="V719" s="1"/>
      <c r="W719" s="1"/>
    </row>
    <row r="720" spans="1:23">
      <c r="A720" s="223"/>
      <c r="B720" s="1"/>
      <c r="C720" s="1"/>
      <c r="D720" s="1"/>
      <c r="E720" s="1"/>
      <c r="F720" s="1"/>
      <c r="G720" s="1"/>
      <c r="H720" s="1"/>
      <c r="I720" s="1"/>
      <c r="J720" s="1"/>
      <c r="K720" s="1"/>
      <c r="L720" s="1"/>
      <c r="M720" s="1"/>
      <c r="N720" s="1"/>
      <c r="O720" s="1"/>
      <c r="P720" s="1"/>
      <c r="Q720" s="1"/>
      <c r="R720" s="1"/>
      <c r="S720" s="1"/>
      <c r="T720" s="1"/>
      <c r="U720" s="1"/>
      <c r="V720" s="1"/>
      <c r="W720" s="1"/>
    </row>
    <row r="721" spans="1:23">
      <c r="A721" s="223"/>
      <c r="B721" s="1"/>
      <c r="C721" s="1"/>
      <c r="D721" s="1"/>
      <c r="E721" s="1"/>
      <c r="F721" s="1"/>
      <c r="G721" s="1"/>
      <c r="H721" s="1"/>
      <c r="I721" s="1"/>
      <c r="J721" s="1"/>
      <c r="K721" s="1"/>
      <c r="L721" s="1"/>
      <c r="M721" s="1"/>
      <c r="N721" s="1"/>
      <c r="O721" s="1"/>
      <c r="P721" s="1"/>
      <c r="Q721" s="1"/>
      <c r="R721" s="1"/>
      <c r="S721" s="1"/>
      <c r="T721" s="1"/>
      <c r="U721" s="1"/>
      <c r="V721" s="1"/>
      <c r="W721" s="1"/>
    </row>
    <row r="722" spans="1:23">
      <c r="A722" s="223"/>
      <c r="B722" s="1"/>
      <c r="C722" s="1"/>
      <c r="D722" s="1"/>
      <c r="E722" s="1"/>
      <c r="F722" s="1"/>
      <c r="G722" s="1"/>
      <c r="H722" s="1"/>
      <c r="I722" s="1"/>
      <c r="J722" s="1"/>
      <c r="K722" s="1"/>
      <c r="L722" s="1"/>
      <c r="M722" s="1"/>
      <c r="N722" s="1"/>
      <c r="O722" s="1"/>
      <c r="P722" s="1"/>
      <c r="Q722" s="1"/>
      <c r="R722" s="1"/>
      <c r="S722" s="1"/>
      <c r="T722" s="1"/>
      <c r="U722" s="1"/>
      <c r="V722" s="1"/>
      <c r="W722" s="1"/>
    </row>
    <row r="723" spans="1:23">
      <c r="A723" s="223"/>
      <c r="B723" s="1"/>
      <c r="C723" s="1"/>
      <c r="D723" s="1"/>
      <c r="E723" s="1"/>
      <c r="F723" s="1"/>
      <c r="G723" s="1"/>
      <c r="H723" s="1"/>
      <c r="I723" s="1"/>
      <c r="J723" s="1"/>
      <c r="K723" s="1"/>
      <c r="L723" s="1"/>
      <c r="M723" s="1"/>
      <c r="N723" s="1"/>
      <c r="O723" s="1"/>
      <c r="P723" s="1"/>
      <c r="Q723" s="1"/>
      <c r="R723" s="1"/>
      <c r="S723" s="1"/>
      <c r="T723" s="1"/>
      <c r="U723" s="1"/>
      <c r="V723" s="1"/>
      <c r="W723" s="1"/>
    </row>
    <row r="724" spans="1:23">
      <c r="A724" s="223"/>
      <c r="B724" s="1"/>
      <c r="C724" s="1"/>
      <c r="D724" s="1"/>
      <c r="E724" s="1"/>
      <c r="F724" s="1"/>
      <c r="G724" s="1"/>
      <c r="H724" s="1"/>
      <c r="I724" s="1"/>
      <c r="J724" s="1"/>
      <c r="K724" s="1"/>
      <c r="L724" s="1"/>
      <c r="M724" s="1"/>
      <c r="N724" s="1"/>
      <c r="O724" s="1"/>
      <c r="P724" s="1"/>
      <c r="Q724" s="1"/>
      <c r="R724" s="1"/>
      <c r="S724" s="1"/>
      <c r="T724" s="1"/>
      <c r="U724" s="1"/>
      <c r="V724" s="1"/>
      <c r="W724" s="1"/>
    </row>
    <row r="725" spans="1:23">
      <c r="A725" s="223"/>
      <c r="B725" s="1"/>
      <c r="C725" s="1"/>
      <c r="D725" s="1"/>
      <c r="E725" s="1"/>
      <c r="F725" s="1"/>
      <c r="G725" s="1"/>
      <c r="H725" s="1"/>
      <c r="I725" s="1"/>
      <c r="J725" s="1"/>
      <c r="K725" s="1"/>
      <c r="L725" s="1"/>
      <c r="M725" s="1"/>
      <c r="N725" s="1"/>
      <c r="O725" s="1"/>
      <c r="P725" s="1"/>
      <c r="Q725" s="1"/>
      <c r="R725" s="1"/>
      <c r="S725" s="1"/>
      <c r="T725" s="1"/>
      <c r="U725" s="1"/>
      <c r="V725" s="1"/>
      <c r="W725" s="1"/>
    </row>
    <row r="726" spans="1:23">
      <c r="A726" s="223"/>
      <c r="B726" s="1"/>
      <c r="C726" s="1"/>
      <c r="D726" s="1"/>
      <c r="E726" s="1"/>
      <c r="F726" s="1"/>
      <c r="G726" s="1"/>
      <c r="H726" s="1"/>
      <c r="I726" s="1"/>
      <c r="J726" s="1"/>
      <c r="K726" s="1"/>
      <c r="L726" s="1"/>
      <c r="M726" s="1"/>
      <c r="N726" s="1"/>
      <c r="O726" s="1"/>
      <c r="P726" s="1"/>
      <c r="Q726" s="1"/>
      <c r="R726" s="1"/>
      <c r="S726" s="1"/>
      <c r="T726" s="1"/>
      <c r="U726" s="1"/>
      <c r="V726" s="1"/>
      <c r="W726" s="1"/>
    </row>
    <row r="727" spans="1:23">
      <c r="A727" s="223"/>
      <c r="B727" s="1"/>
      <c r="C727" s="1"/>
      <c r="D727" s="1"/>
      <c r="E727" s="1"/>
      <c r="F727" s="1"/>
      <c r="G727" s="1"/>
      <c r="H727" s="1"/>
      <c r="I727" s="1"/>
      <c r="J727" s="1"/>
      <c r="K727" s="1"/>
      <c r="L727" s="1"/>
      <c r="M727" s="1"/>
      <c r="N727" s="1"/>
      <c r="O727" s="1"/>
      <c r="P727" s="1"/>
      <c r="Q727" s="1"/>
      <c r="R727" s="1"/>
      <c r="S727" s="1"/>
      <c r="T727" s="1"/>
      <c r="U727" s="1"/>
      <c r="V727" s="1"/>
      <c r="W727" s="1"/>
    </row>
    <row r="728" spans="1:23">
      <c r="A728" s="223"/>
      <c r="B728" s="1"/>
      <c r="C728" s="1"/>
      <c r="D728" s="1"/>
      <c r="E728" s="1"/>
      <c r="F728" s="1"/>
      <c r="G728" s="1"/>
      <c r="H728" s="1"/>
      <c r="I728" s="1"/>
      <c r="J728" s="1"/>
      <c r="K728" s="1"/>
      <c r="L728" s="1"/>
      <c r="M728" s="1"/>
      <c r="N728" s="1"/>
      <c r="O728" s="1"/>
      <c r="P728" s="1"/>
      <c r="Q728" s="1"/>
      <c r="R728" s="1"/>
      <c r="S728" s="1"/>
      <c r="T728" s="1"/>
      <c r="U728" s="1"/>
      <c r="V728" s="1"/>
      <c r="W728" s="1"/>
    </row>
    <row r="729" spans="1:23">
      <c r="A729" s="223"/>
      <c r="B729" s="1"/>
      <c r="C729" s="1"/>
      <c r="D729" s="1"/>
      <c r="E729" s="1"/>
      <c r="F729" s="1"/>
      <c r="G729" s="1"/>
      <c r="H729" s="1"/>
      <c r="I729" s="1"/>
      <c r="J729" s="1"/>
      <c r="K729" s="1"/>
      <c r="L729" s="1"/>
      <c r="M729" s="1"/>
      <c r="N729" s="1"/>
      <c r="O729" s="1"/>
      <c r="P729" s="1"/>
      <c r="Q729" s="1"/>
      <c r="R729" s="1"/>
      <c r="S729" s="1"/>
      <c r="T729" s="1"/>
      <c r="U729" s="1"/>
      <c r="V729" s="1"/>
      <c r="W729" s="1"/>
    </row>
    <row r="730" spans="1:23">
      <c r="A730" s="223"/>
      <c r="B730" s="1"/>
      <c r="C730" s="1"/>
      <c r="D730" s="1"/>
      <c r="E730" s="1"/>
      <c r="F730" s="1"/>
      <c r="G730" s="1"/>
      <c r="H730" s="1"/>
      <c r="I730" s="1"/>
      <c r="J730" s="1"/>
      <c r="K730" s="1"/>
      <c r="L730" s="1"/>
      <c r="M730" s="1"/>
      <c r="N730" s="1"/>
      <c r="O730" s="1"/>
      <c r="P730" s="1"/>
      <c r="Q730" s="1"/>
      <c r="R730" s="1"/>
      <c r="S730" s="1"/>
      <c r="T730" s="1"/>
      <c r="U730" s="1"/>
      <c r="V730" s="1"/>
      <c r="W730" s="1"/>
    </row>
    <row r="731" spans="1:23">
      <c r="A731" s="223"/>
      <c r="B731" s="1"/>
      <c r="C731" s="1"/>
      <c r="D731" s="1"/>
      <c r="E731" s="1"/>
      <c r="F731" s="1"/>
      <c r="G731" s="1"/>
      <c r="H731" s="1"/>
      <c r="I731" s="1"/>
      <c r="J731" s="1"/>
      <c r="K731" s="1"/>
      <c r="L731" s="1"/>
      <c r="M731" s="1"/>
      <c r="N731" s="1"/>
      <c r="O731" s="1"/>
      <c r="P731" s="1"/>
      <c r="Q731" s="1"/>
      <c r="R731" s="1"/>
      <c r="S731" s="1"/>
      <c r="T731" s="1"/>
      <c r="U731" s="1"/>
      <c r="V731" s="1"/>
      <c r="W731" s="1"/>
    </row>
    <row r="732" spans="1:23">
      <c r="A732" s="223"/>
      <c r="B732" s="1"/>
      <c r="C732" s="1"/>
      <c r="D732" s="1"/>
      <c r="E732" s="1"/>
      <c r="F732" s="1"/>
      <c r="G732" s="1"/>
      <c r="H732" s="1"/>
      <c r="I732" s="1"/>
      <c r="J732" s="1"/>
      <c r="K732" s="1"/>
      <c r="L732" s="1"/>
      <c r="M732" s="1"/>
      <c r="N732" s="1"/>
      <c r="O732" s="1"/>
      <c r="P732" s="1"/>
      <c r="Q732" s="1"/>
      <c r="R732" s="1"/>
      <c r="S732" s="1"/>
      <c r="T732" s="1"/>
      <c r="U732" s="1"/>
      <c r="V732" s="1"/>
      <c r="W732" s="1"/>
    </row>
    <row r="733" spans="1:23">
      <c r="A733" s="223"/>
      <c r="B733" s="1"/>
      <c r="C733" s="1"/>
      <c r="D733" s="1"/>
      <c r="E733" s="1"/>
      <c r="F733" s="1"/>
      <c r="G733" s="1"/>
      <c r="H733" s="1"/>
      <c r="I733" s="1"/>
      <c r="J733" s="1"/>
      <c r="K733" s="1"/>
      <c r="L733" s="1"/>
      <c r="M733" s="1"/>
      <c r="N733" s="1"/>
      <c r="O733" s="1"/>
      <c r="P733" s="1"/>
      <c r="Q733" s="1"/>
      <c r="R733" s="1"/>
      <c r="S733" s="1"/>
      <c r="T733" s="1"/>
      <c r="U733" s="1"/>
      <c r="V733" s="1"/>
      <c r="W733" s="1"/>
    </row>
    <row r="734" spans="1:23">
      <c r="A734" s="223"/>
      <c r="B734" s="1"/>
      <c r="C734" s="1"/>
      <c r="D734" s="1"/>
      <c r="E734" s="1"/>
      <c r="F734" s="1"/>
      <c r="G734" s="1"/>
      <c r="H734" s="1"/>
      <c r="I734" s="1"/>
      <c r="J734" s="1"/>
      <c r="K734" s="1"/>
      <c r="L734" s="1"/>
      <c r="M734" s="1"/>
      <c r="N734" s="1"/>
      <c r="O734" s="1"/>
      <c r="P734" s="1"/>
      <c r="Q734" s="1"/>
      <c r="R734" s="1"/>
      <c r="S734" s="1"/>
      <c r="T734" s="1"/>
      <c r="U734" s="1"/>
      <c r="V734" s="1"/>
      <c r="W734" s="1"/>
    </row>
    <row r="735" spans="1:23">
      <c r="A735" s="223"/>
      <c r="B735" s="1"/>
      <c r="C735" s="1"/>
      <c r="D735" s="1"/>
      <c r="E735" s="1"/>
      <c r="F735" s="1"/>
      <c r="G735" s="1"/>
      <c r="H735" s="1"/>
      <c r="I735" s="1"/>
      <c r="J735" s="1"/>
      <c r="K735" s="1"/>
      <c r="L735" s="1"/>
      <c r="M735" s="1"/>
      <c r="N735" s="1"/>
      <c r="O735" s="1"/>
      <c r="P735" s="1"/>
      <c r="Q735" s="1"/>
      <c r="R735" s="1"/>
      <c r="S735" s="1"/>
      <c r="T735" s="1"/>
      <c r="U735" s="1"/>
      <c r="V735" s="1"/>
      <c r="W735" s="1"/>
    </row>
    <row r="736" spans="1:23">
      <c r="A736" s="223"/>
      <c r="B736" s="1"/>
      <c r="C736" s="1"/>
      <c r="D736" s="1"/>
      <c r="E736" s="1"/>
      <c r="F736" s="1"/>
      <c r="G736" s="1"/>
      <c r="H736" s="1"/>
      <c r="I736" s="1"/>
      <c r="J736" s="1"/>
      <c r="K736" s="1"/>
      <c r="L736" s="1"/>
      <c r="M736" s="1"/>
      <c r="N736" s="1"/>
      <c r="O736" s="1"/>
      <c r="P736" s="1"/>
      <c r="Q736" s="1"/>
      <c r="R736" s="1"/>
      <c r="S736" s="1"/>
      <c r="T736" s="1"/>
      <c r="U736" s="1"/>
      <c r="V736" s="1"/>
      <c r="W736" s="1"/>
    </row>
    <row r="737" spans="1:23">
      <c r="A737" s="223"/>
      <c r="B737" s="1"/>
      <c r="C737" s="1"/>
      <c r="D737" s="1"/>
      <c r="E737" s="1"/>
      <c r="F737" s="1"/>
      <c r="G737" s="1"/>
      <c r="H737" s="1"/>
      <c r="I737" s="1"/>
      <c r="J737" s="1"/>
      <c r="K737" s="1"/>
      <c r="L737" s="1"/>
      <c r="M737" s="1"/>
      <c r="N737" s="1"/>
      <c r="O737" s="1"/>
      <c r="P737" s="1"/>
      <c r="Q737" s="1"/>
      <c r="R737" s="1"/>
      <c r="S737" s="1"/>
      <c r="T737" s="1"/>
      <c r="U737" s="1"/>
      <c r="V737" s="1"/>
      <c r="W737" s="1"/>
    </row>
    <row r="738" spans="1:23">
      <c r="A738" s="223"/>
      <c r="B738" s="1"/>
      <c r="C738" s="1"/>
      <c r="D738" s="1"/>
      <c r="E738" s="1"/>
      <c r="F738" s="1"/>
      <c r="G738" s="1"/>
      <c r="H738" s="1"/>
      <c r="I738" s="1"/>
      <c r="J738" s="1"/>
      <c r="K738" s="1"/>
      <c r="L738" s="1"/>
      <c r="M738" s="1"/>
      <c r="N738" s="1"/>
      <c r="O738" s="1"/>
      <c r="P738" s="1"/>
      <c r="Q738" s="1"/>
      <c r="R738" s="1"/>
      <c r="S738" s="1"/>
      <c r="T738" s="1"/>
      <c r="U738" s="1"/>
      <c r="V738" s="1"/>
      <c r="W738" s="1"/>
    </row>
    <row r="739" spans="1:23">
      <c r="A739" s="223"/>
      <c r="B739" s="1"/>
      <c r="C739" s="1"/>
      <c r="D739" s="1"/>
      <c r="E739" s="1"/>
      <c r="F739" s="1"/>
      <c r="G739" s="1"/>
      <c r="H739" s="1"/>
      <c r="I739" s="1"/>
      <c r="J739" s="1"/>
      <c r="K739" s="1"/>
      <c r="L739" s="1"/>
      <c r="M739" s="1"/>
      <c r="N739" s="1"/>
      <c r="O739" s="1"/>
      <c r="P739" s="1"/>
      <c r="Q739" s="1"/>
      <c r="R739" s="1"/>
      <c r="S739" s="1"/>
      <c r="T739" s="1"/>
      <c r="U739" s="1"/>
      <c r="V739" s="1"/>
      <c r="W739" s="1"/>
    </row>
    <row r="740" spans="1:23">
      <c r="A740" s="223"/>
      <c r="B740" s="1"/>
      <c r="C740" s="1"/>
      <c r="D740" s="1"/>
      <c r="E740" s="1"/>
      <c r="F740" s="1"/>
      <c r="G740" s="1"/>
      <c r="H740" s="1"/>
      <c r="I740" s="1"/>
      <c r="J740" s="1"/>
      <c r="K740" s="1"/>
      <c r="L740" s="1"/>
      <c r="M740" s="1"/>
      <c r="N740" s="1"/>
      <c r="O740" s="1"/>
      <c r="P740" s="1"/>
      <c r="Q740" s="1"/>
      <c r="R740" s="1"/>
      <c r="S740" s="1"/>
      <c r="T740" s="1"/>
      <c r="U740" s="1"/>
      <c r="V740" s="1"/>
      <c r="W740" s="1"/>
    </row>
    <row r="741" spans="1:23">
      <c r="A741" s="223"/>
      <c r="B741" s="1"/>
      <c r="C741" s="1"/>
      <c r="D741" s="1"/>
      <c r="E741" s="1"/>
      <c r="F741" s="1"/>
      <c r="G741" s="1"/>
      <c r="H741" s="1"/>
      <c r="I741" s="1"/>
      <c r="J741" s="1"/>
      <c r="K741" s="1"/>
      <c r="L741" s="1"/>
      <c r="M741" s="1"/>
      <c r="N741" s="1"/>
      <c r="O741" s="1"/>
      <c r="P741" s="1"/>
      <c r="Q741" s="1"/>
      <c r="R741" s="1"/>
      <c r="S741" s="1"/>
      <c r="T741" s="1"/>
      <c r="U741" s="1"/>
      <c r="V741" s="1"/>
      <c r="W741" s="1"/>
    </row>
    <row r="742" spans="1:23">
      <c r="A742" s="223"/>
      <c r="B742" s="1"/>
      <c r="C742" s="1"/>
      <c r="D742" s="1"/>
      <c r="E742" s="1"/>
      <c r="F742" s="1"/>
      <c r="G742" s="1"/>
      <c r="H742" s="1"/>
      <c r="I742" s="1"/>
      <c r="J742" s="1"/>
      <c r="K742" s="1"/>
      <c r="L742" s="1"/>
      <c r="M742" s="1"/>
      <c r="N742" s="1"/>
      <c r="O742" s="1"/>
      <c r="P742" s="1"/>
      <c r="Q742" s="1"/>
      <c r="R742" s="1"/>
      <c r="S742" s="1"/>
      <c r="T742" s="1"/>
      <c r="U742" s="1"/>
      <c r="V742" s="1"/>
      <c r="W742" s="1"/>
    </row>
    <row r="743" spans="1:23">
      <c r="A743" s="223"/>
      <c r="B743" s="1"/>
      <c r="C743" s="1"/>
      <c r="D743" s="1"/>
      <c r="E743" s="1"/>
      <c r="F743" s="1"/>
      <c r="G743" s="1"/>
      <c r="H743" s="1"/>
      <c r="I743" s="1"/>
      <c r="J743" s="1"/>
      <c r="K743" s="1"/>
      <c r="L743" s="1"/>
      <c r="M743" s="1"/>
      <c r="N743" s="1"/>
      <c r="O743" s="1"/>
      <c r="P743" s="1"/>
      <c r="Q743" s="1"/>
      <c r="R743" s="1"/>
      <c r="S743" s="1"/>
      <c r="T743" s="1"/>
      <c r="U743" s="1"/>
      <c r="V743" s="1"/>
      <c r="W743" s="1"/>
    </row>
    <row r="744" spans="1:23">
      <c r="A744" s="223"/>
      <c r="B744" s="1"/>
      <c r="C744" s="1"/>
      <c r="D744" s="1"/>
      <c r="E744" s="1"/>
      <c r="F744" s="1"/>
      <c r="G744" s="1"/>
      <c r="H744" s="1"/>
      <c r="I744" s="1"/>
      <c r="J744" s="1"/>
      <c r="K744" s="1"/>
      <c r="L744" s="1"/>
      <c r="M744" s="1"/>
      <c r="N744" s="1"/>
      <c r="O744" s="1"/>
      <c r="P744" s="1"/>
      <c r="Q744" s="1"/>
      <c r="R744" s="1"/>
      <c r="S744" s="1"/>
      <c r="T744" s="1"/>
      <c r="U744" s="1"/>
      <c r="V744" s="1"/>
      <c r="W744" s="1"/>
    </row>
    <row r="745" spans="1:23">
      <c r="A745" s="223"/>
      <c r="B745" s="1"/>
      <c r="C745" s="1"/>
      <c r="D745" s="1"/>
      <c r="E745" s="1"/>
      <c r="F745" s="1"/>
      <c r="G745" s="1"/>
      <c r="H745" s="1"/>
      <c r="I745" s="1"/>
      <c r="J745" s="1"/>
      <c r="K745" s="1"/>
      <c r="L745" s="1"/>
      <c r="M745" s="1"/>
      <c r="N745" s="1"/>
      <c r="O745" s="1"/>
      <c r="P745" s="1"/>
      <c r="Q745" s="1"/>
      <c r="R745" s="1"/>
      <c r="S745" s="1"/>
      <c r="T745" s="1"/>
      <c r="U745" s="1"/>
      <c r="V745" s="1"/>
      <c r="W745" s="1"/>
    </row>
    <row r="746" spans="1:23">
      <c r="A746" s="223"/>
      <c r="B746" s="1"/>
      <c r="C746" s="1"/>
      <c r="D746" s="1"/>
      <c r="E746" s="1"/>
      <c r="F746" s="1"/>
      <c r="G746" s="1"/>
      <c r="H746" s="1"/>
      <c r="I746" s="1"/>
      <c r="J746" s="1"/>
      <c r="K746" s="1"/>
      <c r="L746" s="1"/>
      <c r="M746" s="1"/>
      <c r="N746" s="1"/>
      <c r="O746" s="1"/>
      <c r="P746" s="1"/>
      <c r="Q746" s="1"/>
      <c r="R746" s="1"/>
      <c r="S746" s="1"/>
      <c r="T746" s="1"/>
      <c r="U746" s="1"/>
      <c r="V746" s="1"/>
      <c r="W746" s="1"/>
    </row>
    <row r="747" spans="1:23">
      <c r="A747" s="223"/>
      <c r="B747" s="1"/>
      <c r="C747" s="1"/>
      <c r="D747" s="1"/>
      <c r="E747" s="1"/>
      <c r="F747" s="1"/>
      <c r="G747" s="1"/>
      <c r="H747" s="1"/>
      <c r="I747" s="1"/>
      <c r="J747" s="1"/>
      <c r="K747" s="1"/>
      <c r="L747" s="1"/>
      <c r="M747" s="1"/>
      <c r="N747" s="1"/>
      <c r="O747" s="1"/>
      <c r="P747" s="1"/>
      <c r="Q747" s="1"/>
      <c r="R747" s="1"/>
      <c r="S747" s="1"/>
      <c r="T747" s="1"/>
      <c r="U747" s="1"/>
      <c r="V747" s="1"/>
      <c r="W747" s="1"/>
    </row>
    <row r="748" spans="1:23">
      <c r="A748" s="223"/>
      <c r="B748" s="1"/>
      <c r="C748" s="1"/>
      <c r="D748" s="1"/>
      <c r="E748" s="1"/>
      <c r="F748" s="1"/>
      <c r="G748" s="1"/>
      <c r="H748" s="1"/>
      <c r="I748" s="1"/>
      <c r="J748" s="1"/>
      <c r="K748" s="1"/>
      <c r="L748" s="1"/>
      <c r="M748" s="1"/>
      <c r="N748" s="1"/>
      <c r="O748" s="1"/>
      <c r="P748" s="1"/>
      <c r="Q748" s="1"/>
      <c r="R748" s="1"/>
      <c r="S748" s="1"/>
      <c r="T748" s="1"/>
      <c r="U748" s="1"/>
      <c r="V748" s="1"/>
      <c r="W748" s="1"/>
    </row>
    <row r="749" spans="1:23">
      <c r="A749" s="223"/>
      <c r="B749" s="1"/>
      <c r="C749" s="1"/>
      <c r="D749" s="1"/>
      <c r="E749" s="1"/>
      <c r="F749" s="1"/>
      <c r="G749" s="1"/>
      <c r="H749" s="1"/>
      <c r="I749" s="1"/>
      <c r="J749" s="1"/>
      <c r="K749" s="1"/>
      <c r="L749" s="1"/>
      <c r="M749" s="1"/>
      <c r="N749" s="1"/>
      <c r="O749" s="1"/>
      <c r="P749" s="1"/>
      <c r="Q749" s="1"/>
      <c r="R749" s="1"/>
      <c r="S749" s="1"/>
      <c r="T749" s="1"/>
      <c r="U749" s="1"/>
      <c r="V749" s="1"/>
      <c r="W749" s="1"/>
    </row>
    <row r="750" spans="1:23">
      <c r="A750" s="223"/>
      <c r="B750" s="1"/>
      <c r="C750" s="1"/>
      <c r="D750" s="1"/>
      <c r="E750" s="1"/>
      <c r="F750" s="1"/>
      <c r="G750" s="1"/>
      <c r="H750" s="1"/>
      <c r="I750" s="1"/>
      <c r="J750" s="1"/>
      <c r="K750" s="1"/>
      <c r="L750" s="1"/>
      <c r="M750" s="1"/>
      <c r="N750" s="1"/>
      <c r="O750" s="1"/>
      <c r="P750" s="1"/>
      <c r="Q750" s="1"/>
      <c r="R750" s="1"/>
      <c r="S750" s="1"/>
      <c r="T750" s="1"/>
      <c r="U750" s="1"/>
      <c r="V750" s="1"/>
      <c r="W750" s="1"/>
    </row>
    <row r="751" spans="1:23">
      <c r="A751" s="223"/>
      <c r="B751" s="1"/>
      <c r="C751" s="1"/>
      <c r="D751" s="1"/>
      <c r="E751" s="1"/>
      <c r="F751" s="1"/>
      <c r="G751" s="1"/>
      <c r="H751" s="1"/>
      <c r="I751" s="1"/>
      <c r="J751" s="1"/>
      <c r="K751" s="1"/>
      <c r="L751" s="1"/>
      <c r="M751" s="1"/>
      <c r="N751" s="1"/>
      <c r="O751" s="1"/>
      <c r="P751" s="1"/>
      <c r="Q751" s="1"/>
      <c r="R751" s="1"/>
      <c r="S751" s="1"/>
      <c r="T751" s="1"/>
      <c r="U751" s="1"/>
      <c r="V751" s="1"/>
      <c r="W751" s="1"/>
    </row>
    <row r="752" spans="1:23">
      <c r="A752" s="223"/>
      <c r="B752" s="1"/>
      <c r="C752" s="1"/>
      <c r="D752" s="1"/>
      <c r="E752" s="1"/>
      <c r="F752" s="1"/>
      <c r="G752" s="1"/>
      <c r="H752" s="1"/>
      <c r="I752" s="1"/>
      <c r="J752" s="1"/>
      <c r="K752" s="1"/>
      <c r="L752" s="1"/>
      <c r="M752" s="1"/>
      <c r="N752" s="1"/>
      <c r="O752" s="1"/>
      <c r="P752" s="1"/>
      <c r="Q752" s="1"/>
      <c r="R752" s="1"/>
      <c r="S752" s="1"/>
      <c r="T752" s="1"/>
      <c r="U752" s="1"/>
      <c r="V752" s="1"/>
      <c r="W752" s="1"/>
    </row>
    <row r="753" spans="1:23">
      <c r="A753" s="223"/>
      <c r="B753" s="1"/>
      <c r="C753" s="1"/>
      <c r="D753" s="1"/>
      <c r="E753" s="1"/>
      <c r="F753" s="1"/>
      <c r="G753" s="1"/>
      <c r="H753" s="1"/>
      <c r="I753" s="1"/>
      <c r="J753" s="1"/>
      <c r="K753" s="1"/>
      <c r="L753" s="1"/>
      <c r="M753" s="1"/>
      <c r="N753" s="1"/>
      <c r="O753" s="1"/>
      <c r="P753" s="1"/>
      <c r="Q753" s="1"/>
      <c r="R753" s="1"/>
      <c r="S753" s="1"/>
      <c r="T753" s="1"/>
      <c r="U753" s="1"/>
      <c r="V753" s="1"/>
      <c r="W753" s="1"/>
    </row>
    <row r="754" spans="1:23">
      <c r="A754" s="223"/>
      <c r="B754" s="1"/>
      <c r="C754" s="1"/>
      <c r="D754" s="1"/>
      <c r="E754" s="1"/>
      <c r="F754" s="1"/>
      <c r="G754" s="1"/>
      <c r="H754" s="1"/>
      <c r="I754" s="1"/>
      <c r="J754" s="1"/>
      <c r="K754" s="1"/>
      <c r="L754" s="1"/>
      <c r="M754" s="1"/>
      <c r="N754" s="1"/>
      <c r="O754" s="1"/>
      <c r="P754" s="1"/>
      <c r="Q754" s="1"/>
      <c r="R754" s="1"/>
      <c r="S754" s="1"/>
      <c r="T754" s="1"/>
      <c r="U754" s="1"/>
      <c r="V754" s="1"/>
      <c r="W754" s="1"/>
    </row>
    <row r="755" spans="1:23">
      <c r="A755" s="223"/>
      <c r="B755" s="1"/>
      <c r="C755" s="1"/>
      <c r="D755" s="1"/>
      <c r="E755" s="1"/>
      <c r="F755" s="1"/>
      <c r="G755" s="1"/>
      <c r="H755" s="1"/>
      <c r="I755" s="1"/>
      <c r="J755" s="1"/>
      <c r="K755" s="1"/>
      <c r="L755" s="1"/>
      <c r="M755" s="1"/>
      <c r="N755" s="1"/>
      <c r="O755" s="1"/>
      <c r="P755" s="1"/>
      <c r="Q755" s="1"/>
      <c r="R755" s="1"/>
      <c r="S755" s="1"/>
      <c r="T755" s="1"/>
      <c r="U755" s="1"/>
      <c r="V755" s="1"/>
      <c r="W755" s="1"/>
    </row>
    <row r="756" spans="1:23">
      <c r="A756" s="223"/>
      <c r="B756" s="1"/>
      <c r="C756" s="1"/>
      <c r="D756" s="1"/>
      <c r="E756" s="1"/>
      <c r="F756" s="1"/>
      <c r="G756" s="1"/>
      <c r="H756" s="1"/>
      <c r="I756" s="1"/>
      <c r="J756" s="1"/>
      <c r="K756" s="1"/>
      <c r="L756" s="1"/>
      <c r="M756" s="1"/>
      <c r="N756" s="1"/>
      <c r="O756" s="1"/>
      <c r="P756" s="1"/>
      <c r="Q756" s="1"/>
      <c r="R756" s="1"/>
      <c r="S756" s="1"/>
      <c r="T756" s="1"/>
      <c r="U756" s="1"/>
      <c r="V756" s="1"/>
      <c r="W756" s="1"/>
    </row>
    <row r="757" spans="1:23">
      <c r="A757" s="223"/>
      <c r="B757" s="1"/>
      <c r="C757" s="1"/>
      <c r="D757" s="1"/>
      <c r="E757" s="1"/>
      <c r="F757" s="1"/>
      <c r="G757" s="1"/>
      <c r="H757" s="1"/>
      <c r="I757" s="1"/>
      <c r="J757" s="1"/>
      <c r="K757" s="1"/>
      <c r="L757" s="1"/>
      <c r="M757" s="1"/>
      <c r="N757" s="1"/>
      <c r="O757" s="1"/>
      <c r="P757" s="1"/>
      <c r="Q757" s="1"/>
      <c r="R757" s="1"/>
      <c r="S757" s="1"/>
      <c r="T757" s="1"/>
      <c r="U757" s="1"/>
      <c r="V757" s="1"/>
      <c r="W757" s="1"/>
    </row>
    <row r="758" spans="1:23">
      <c r="A758" s="223"/>
      <c r="B758" s="1"/>
      <c r="C758" s="1"/>
      <c r="D758" s="1"/>
      <c r="E758" s="1"/>
      <c r="F758" s="1"/>
      <c r="G758" s="1"/>
      <c r="H758" s="1"/>
      <c r="I758" s="1"/>
      <c r="J758" s="1"/>
      <c r="K758" s="1"/>
      <c r="L758" s="1"/>
      <c r="M758" s="1"/>
      <c r="N758" s="1"/>
      <c r="O758" s="1"/>
      <c r="P758" s="1"/>
      <c r="Q758" s="1"/>
      <c r="R758" s="1"/>
      <c r="S758" s="1"/>
      <c r="T758" s="1"/>
      <c r="U758" s="1"/>
      <c r="V758" s="1"/>
      <c r="W758" s="1"/>
    </row>
    <row r="759" spans="1:23">
      <c r="A759" s="223"/>
      <c r="B759" s="1"/>
      <c r="C759" s="1"/>
      <c r="D759" s="1"/>
      <c r="E759" s="1"/>
      <c r="F759" s="1"/>
      <c r="G759" s="1"/>
      <c r="H759" s="1"/>
      <c r="I759" s="1"/>
      <c r="J759" s="1"/>
      <c r="K759" s="1"/>
      <c r="L759" s="1"/>
      <c r="M759" s="1"/>
      <c r="N759" s="1"/>
      <c r="O759" s="1"/>
      <c r="P759" s="1"/>
      <c r="Q759" s="1"/>
      <c r="R759" s="1"/>
      <c r="S759" s="1"/>
      <c r="T759" s="1"/>
      <c r="U759" s="1"/>
      <c r="V759" s="1"/>
      <c r="W759" s="1"/>
    </row>
    <row r="760" spans="1:23">
      <c r="A760" s="223"/>
      <c r="B760" s="1"/>
      <c r="C760" s="1"/>
      <c r="D760" s="1"/>
      <c r="E760" s="1"/>
      <c r="F760" s="1"/>
      <c r="G760" s="1"/>
      <c r="H760" s="1"/>
      <c r="I760" s="1"/>
      <c r="J760" s="1"/>
      <c r="K760" s="1"/>
      <c r="L760" s="1"/>
      <c r="M760" s="1"/>
      <c r="N760" s="1"/>
      <c r="O760" s="1"/>
      <c r="P760" s="1"/>
      <c r="Q760" s="1"/>
      <c r="R760" s="1"/>
      <c r="S760" s="1"/>
      <c r="T760" s="1"/>
      <c r="U760" s="1"/>
      <c r="V760" s="1"/>
      <c r="W760" s="1"/>
    </row>
    <row r="761" spans="1:23">
      <c r="A761" s="223"/>
      <c r="B761" s="1"/>
      <c r="C761" s="1"/>
      <c r="D761" s="1"/>
      <c r="E761" s="1"/>
      <c r="F761" s="1"/>
      <c r="G761" s="1"/>
      <c r="H761" s="1"/>
      <c r="I761" s="1"/>
      <c r="J761" s="1"/>
      <c r="K761" s="1"/>
      <c r="L761" s="1"/>
      <c r="M761" s="1"/>
      <c r="N761" s="1"/>
      <c r="O761" s="1"/>
      <c r="P761" s="1"/>
      <c r="Q761" s="1"/>
      <c r="R761" s="1"/>
      <c r="S761" s="1"/>
      <c r="T761" s="1"/>
      <c r="U761" s="1"/>
      <c r="V761" s="1"/>
      <c r="W761" s="1"/>
    </row>
    <row r="762" spans="1:23">
      <c r="A762" s="223"/>
      <c r="B762" s="1"/>
      <c r="C762" s="1"/>
      <c r="D762" s="1"/>
      <c r="E762" s="1"/>
      <c r="F762" s="1"/>
      <c r="G762" s="1"/>
      <c r="H762" s="1"/>
      <c r="I762" s="1"/>
      <c r="J762" s="1"/>
      <c r="K762" s="1"/>
      <c r="L762" s="1"/>
      <c r="M762" s="1"/>
      <c r="N762" s="1"/>
      <c r="O762" s="1"/>
      <c r="P762" s="1"/>
      <c r="Q762" s="1"/>
      <c r="R762" s="1"/>
      <c r="S762" s="1"/>
      <c r="T762" s="1"/>
      <c r="U762" s="1"/>
      <c r="V762" s="1"/>
      <c r="W762" s="1"/>
    </row>
    <row r="763" spans="1:23">
      <c r="A763" s="223"/>
      <c r="B763" s="1"/>
      <c r="C763" s="1"/>
      <c r="D763" s="1"/>
      <c r="E763" s="1"/>
      <c r="F763" s="1"/>
      <c r="G763" s="1"/>
      <c r="H763" s="1"/>
      <c r="I763" s="1"/>
      <c r="J763" s="1"/>
      <c r="K763" s="1"/>
      <c r="L763" s="1"/>
      <c r="M763" s="1"/>
      <c r="N763" s="1"/>
      <c r="O763" s="1"/>
      <c r="P763" s="1"/>
      <c r="Q763" s="1"/>
      <c r="R763" s="1"/>
      <c r="S763" s="1"/>
      <c r="T763" s="1"/>
      <c r="U763" s="1"/>
      <c r="V763" s="1"/>
      <c r="W763" s="1"/>
    </row>
    <row r="764" spans="1:23">
      <c r="A764" s="223"/>
      <c r="B764" s="1"/>
      <c r="C764" s="1"/>
      <c r="D764" s="1"/>
      <c r="E764" s="1"/>
      <c r="F764" s="1"/>
      <c r="G764" s="1"/>
      <c r="H764" s="1"/>
      <c r="I764" s="1"/>
      <c r="J764" s="1"/>
      <c r="K764" s="1"/>
      <c r="L764" s="1"/>
      <c r="M764" s="1"/>
      <c r="N764" s="1"/>
      <c r="O764" s="1"/>
      <c r="P764" s="1"/>
      <c r="Q764" s="1"/>
      <c r="R764" s="1"/>
      <c r="S764" s="1"/>
      <c r="T764" s="1"/>
      <c r="U764" s="1"/>
      <c r="V764" s="1"/>
      <c r="W764" s="1"/>
    </row>
    <row r="765" spans="1:23">
      <c r="A765" s="223"/>
      <c r="B765" s="1"/>
      <c r="C765" s="1"/>
      <c r="D765" s="1"/>
      <c r="E765" s="1"/>
      <c r="F765" s="1"/>
      <c r="G765" s="1"/>
      <c r="H765" s="1"/>
      <c r="I765" s="1"/>
      <c r="J765" s="1"/>
      <c r="K765" s="1"/>
      <c r="L765" s="1"/>
      <c r="M765" s="1"/>
      <c r="N765" s="1"/>
      <c r="O765" s="1"/>
      <c r="P765" s="1"/>
      <c r="Q765" s="1"/>
      <c r="R765" s="1"/>
      <c r="S765" s="1"/>
      <c r="T765" s="1"/>
      <c r="U765" s="1"/>
      <c r="V765" s="1"/>
      <c r="W765" s="1"/>
    </row>
    <row r="766" spans="1:23">
      <c r="A766" s="223"/>
      <c r="B766" s="1"/>
      <c r="C766" s="1"/>
      <c r="D766" s="1"/>
      <c r="E766" s="1"/>
      <c r="F766" s="1"/>
      <c r="G766" s="1"/>
      <c r="H766" s="1"/>
      <c r="I766" s="1"/>
      <c r="J766" s="1"/>
      <c r="K766" s="1"/>
      <c r="L766" s="1"/>
      <c r="M766" s="1"/>
      <c r="N766" s="1"/>
      <c r="O766" s="1"/>
      <c r="P766" s="1"/>
      <c r="Q766" s="1"/>
      <c r="R766" s="1"/>
      <c r="S766" s="1"/>
      <c r="T766" s="1"/>
      <c r="U766" s="1"/>
      <c r="V766" s="1"/>
      <c r="W766" s="1"/>
    </row>
    <row r="767" spans="1:23">
      <c r="A767" s="223"/>
      <c r="B767" s="1"/>
      <c r="C767" s="1"/>
      <c r="D767" s="1"/>
      <c r="E767" s="1"/>
      <c r="F767" s="1"/>
      <c r="G767" s="1"/>
      <c r="H767" s="1"/>
      <c r="I767" s="1"/>
      <c r="J767" s="1"/>
      <c r="K767" s="1"/>
      <c r="L767" s="1"/>
      <c r="M767" s="1"/>
      <c r="N767" s="1"/>
      <c r="O767" s="1"/>
      <c r="P767" s="1"/>
      <c r="Q767" s="1"/>
      <c r="R767" s="1"/>
      <c r="S767" s="1"/>
      <c r="T767" s="1"/>
      <c r="U767" s="1"/>
      <c r="V767" s="1"/>
      <c r="W767" s="1"/>
    </row>
    <row r="768" spans="1:23">
      <c r="A768" s="223"/>
      <c r="B768" s="1"/>
      <c r="C768" s="1"/>
      <c r="D768" s="1"/>
      <c r="E768" s="1"/>
      <c r="F768" s="1"/>
      <c r="G768" s="1"/>
      <c r="H768" s="1"/>
      <c r="I768" s="1"/>
      <c r="J768" s="1"/>
      <c r="K768" s="1"/>
      <c r="L768" s="1"/>
      <c r="M768" s="1"/>
      <c r="N768" s="1"/>
      <c r="O768" s="1"/>
      <c r="P768" s="1"/>
      <c r="Q768" s="1"/>
      <c r="R768" s="1"/>
      <c r="S768" s="1"/>
      <c r="T768" s="1"/>
      <c r="U768" s="1"/>
      <c r="V768" s="1"/>
      <c r="W768" s="1"/>
    </row>
    <row r="769" spans="1:23">
      <c r="A769" s="223"/>
      <c r="B769" s="1"/>
      <c r="C769" s="1"/>
      <c r="D769" s="1"/>
      <c r="E769" s="1"/>
      <c r="F769" s="1"/>
      <c r="G769" s="1"/>
      <c r="H769" s="1"/>
      <c r="I769" s="1"/>
      <c r="J769" s="1"/>
      <c r="K769" s="1"/>
      <c r="L769" s="1"/>
      <c r="M769" s="1"/>
      <c r="N769" s="1"/>
      <c r="O769" s="1"/>
      <c r="P769" s="1"/>
      <c r="Q769" s="1"/>
      <c r="R769" s="1"/>
      <c r="S769" s="1"/>
      <c r="T769" s="1"/>
      <c r="U769" s="1"/>
      <c r="V769" s="1"/>
      <c r="W769" s="1"/>
    </row>
    <row r="770" spans="1:23">
      <c r="A770" s="223"/>
      <c r="B770" s="1"/>
      <c r="C770" s="1"/>
      <c r="D770" s="1"/>
      <c r="E770" s="1"/>
      <c r="F770" s="1"/>
      <c r="G770" s="1"/>
      <c r="H770" s="1"/>
      <c r="I770" s="1"/>
      <c r="J770" s="1"/>
      <c r="K770" s="1"/>
      <c r="L770" s="1"/>
      <c r="M770" s="1"/>
      <c r="N770" s="1"/>
      <c r="O770" s="1"/>
      <c r="P770" s="1"/>
      <c r="Q770" s="1"/>
      <c r="R770" s="1"/>
      <c r="S770" s="1"/>
      <c r="T770" s="1"/>
      <c r="U770" s="1"/>
      <c r="V770" s="1"/>
      <c r="W770" s="1"/>
    </row>
    <row r="771" spans="1:23">
      <c r="A771" s="223"/>
      <c r="B771" s="1"/>
      <c r="C771" s="1"/>
      <c r="D771" s="1"/>
      <c r="E771" s="1"/>
      <c r="F771" s="1"/>
      <c r="G771" s="1"/>
      <c r="H771" s="1"/>
      <c r="I771" s="1"/>
      <c r="J771" s="1"/>
      <c r="K771" s="1"/>
      <c r="L771" s="1"/>
      <c r="M771" s="1"/>
      <c r="N771" s="1"/>
      <c r="O771" s="1"/>
      <c r="P771" s="1"/>
      <c r="Q771" s="1"/>
      <c r="R771" s="1"/>
      <c r="S771" s="1"/>
      <c r="T771" s="1"/>
      <c r="U771" s="1"/>
      <c r="V771" s="1"/>
      <c r="W771" s="1"/>
    </row>
    <row r="772" spans="1:23">
      <c r="A772" s="223"/>
      <c r="B772" s="1"/>
      <c r="C772" s="1"/>
      <c r="D772" s="1"/>
      <c r="E772" s="1"/>
      <c r="F772" s="1"/>
      <c r="G772" s="1"/>
      <c r="H772" s="1"/>
      <c r="I772" s="1"/>
      <c r="J772" s="1"/>
      <c r="K772" s="1"/>
      <c r="L772" s="1"/>
      <c r="M772" s="1"/>
      <c r="N772" s="1"/>
      <c r="O772" s="1"/>
      <c r="P772" s="1"/>
      <c r="Q772" s="1"/>
      <c r="R772" s="1"/>
      <c r="S772" s="1"/>
      <c r="T772" s="1"/>
      <c r="U772" s="1"/>
      <c r="V772" s="1"/>
      <c r="W772" s="1"/>
    </row>
    <row r="773" spans="1:23">
      <c r="A773" s="223"/>
      <c r="B773" s="1"/>
      <c r="C773" s="1"/>
      <c r="D773" s="1"/>
      <c r="E773" s="1"/>
      <c r="F773" s="1"/>
      <c r="G773" s="1"/>
      <c r="H773" s="1"/>
      <c r="I773" s="1"/>
      <c r="J773" s="1"/>
      <c r="K773" s="1"/>
      <c r="L773" s="1"/>
      <c r="M773" s="1"/>
      <c r="N773" s="1"/>
      <c r="O773" s="1"/>
      <c r="P773" s="1"/>
      <c r="Q773" s="1"/>
      <c r="R773" s="1"/>
      <c r="S773" s="1"/>
      <c r="T773" s="1"/>
      <c r="U773" s="1"/>
      <c r="V773" s="1"/>
      <c r="W773" s="1"/>
    </row>
    <row r="774" spans="1:23">
      <c r="A774" s="223"/>
      <c r="B774" s="1"/>
      <c r="C774" s="1"/>
      <c r="D774" s="1"/>
      <c r="E774" s="1"/>
      <c r="F774" s="1"/>
      <c r="G774" s="1"/>
      <c r="H774" s="1"/>
      <c r="I774" s="1"/>
      <c r="J774" s="1"/>
      <c r="K774" s="1"/>
      <c r="L774" s="1"/>
      <c r="M774" s="1"/>
      <c r="N774" s="1"/>
      <c r="O774" s="1"/>
      <c r="P774" s="1"/>
      <c r="Q774" s="1"/>
      <c r="R774" s="1"/>
      <c r="S774" s="1"/>
      <c r="T774" s="1"/>
      <c r="U774" s="1"/>
      <c r="V774" s="1"/>
      <c r="W774" s="1"/>
    </row>
    <row r="775" spans="1:23">
      <c r="A775" s="223"/>
      <c r="B775" s="1"/>
      <c r="C775" s="1"/>
      <c r="D775" s="1"/>
      <c r="E775" s="1"/>
      <c r="F775" s="1"/>
      <c r="G775" s="1"/>
      <c r="H775" s="1"/>
      <c r="I775" s="1"/>
      <c r="J775" s="1"/>
      <c r="K775" s="1"/>
      <c r="L775" s="1"/>
      <c r="M775" s="1"/>
      <c r="N775" s="1"/>
      <c r="O775" s="1"/>
      <c r="P775" s="1"/>
      <c r="Q775" s="1"/>
      <c r="R775" s="1"/>
      <c r="S775" s="1"/>
      <c r="T775" s="1"/>
      <c r="U775" s="1"/>
      <c r="V775" s="1"/>
      <c r="W775" s="1"/>
    </row>
    <row r="776" spans="1:23">
      <c r="A776" s="223"/>
      <c r="B776" s="1"/>
      <c r="C776" s="1"/>
      <c r="D776" s="1"/>
      <c r="E776" s="1"/>
      <c r="F776" s="1"/>
      <c r="G776" s="1"/>
      <c r="H776" s="1"/>
      <c r="I776" s="1"/>
      <c r="J776" s="1"/>
      <c r="K776" s="1"/>
      <c r="L776" s="1"/>
      <c r="M776" s="1"/>
      <c r="N776" s="1"/>
      <c r="O776" s="1"/>
      <c r="P776" s="1"/>
      <c r="Q776" s="1"/>
      <c r="R776" s="1"/>
      <c r="S776" s="1"/>
      <c r="T776" s="1"/>
      <c r="U776" s="1"/>
      <c r="V776" s="1"/>
      <c r="W776" s="1"/>
    </row>
    <row r="777" spans="1:23">
      <c r="A777" s="223"/>
      <c r="B777" s="1"/>
      <c r="C777" s="1"/>
      <c r="D777" s="1"/>
      <c r="E777" s="1"/>
      <c r="F777" s="1"/>
      <c r="G777" s="1"/>
      <c r="H777" s="1"/>
      <c r="I777" s="1"/>
      <c r="J777" s="1"/>
      <c r="K777" s="1"/>
      <c r="L777" s="1"/>
      <c r="M777" s="1"/>
      <c r="N777" s="1"/>
      <c r="O777" s="1"/>
      <c r="P777" s="1"/>
      <c r="Q777" s="1"/>
      <c r="R777" s="1"/>
      <c r="S777" s="1"/>
      <c r="T777" s="1"/>
      <c r="U777" s="1"/>
      <c r="V777" s="1"/>
      <c r="W777" s="1"/>
    </row>
    <row r="778" spans="1:23">
      <c r="A778" s="223"/>
      <c r="B778" s="1"/>
      <c r="C778" s="1"/>
      <c r="D778" s="1"/>
      <c r="E778" s="1"/>
      <c r="F778" s="1"/>
      <c r="G778" s="1"/>
      <c r="H778" s="1"/>
      <c r="I778" s="1"/>
      <c r="J778" s="1"/>
      <c r="K778" s="1"/>
      <c r="L778" s="1"/>
      <c r="M778" s="1"/>
      <c r="N778" s="1"/>
      <c r="O778" s="1"/>
      <c r="P778" s="1"/>
      <c r="Q778" s="1"/>
      <c r="R778" s="1"/>
      <c r="S778" s="1"/>
      <c r="T778" s="1"/>
      <c r="U778" s="1"/>
      <c r="V778" s="1"/>
      <c r="W778" s="1"/>
    </row>
    <row r="779" spans="1:23">
      <c r="A779" s="223"/>
      <c r="B779" s="1"/>
      <c r="C779" s="1"/>
      <c r="D779" s="1"/>
      <c r="E779" s="1"/>
      <c r="F779" s="1"/>
      <c r="G779" s="1"/>
      <c r="H779" s="1"/>
      <c r="I779" s="1"/>
      <c r="J779" s="1"/>
      <c r="K779" s="1"/>
      <c r="L779" s="1"/>
      <c r="M779" s="1"/>
      <c r="N779" s="1"/>
      <c r="O779" s="1"/>
      <c r="P779" s="1"/>
      <c r="Q779" s="1"/>
      <c r="R779" s="1"/>
      <c r="S779" s="1"/>
      <c r="T779" s="1"/>
      <c r="U779" s="1"/>
      <c r="V779" s="1"/>
      <c r="W779" s="1"/>
    </row>
    <row r="780" spans="1:23">
      <c r="A780" s="223"/>
      <c r="B780" s="1"/>
      <c r="C780" s="1"/>
      <c r="D780" s="1"/>
      <c r="E780" s="1"/>
      <c r="F780" s="1"/>
      <c r="G780" s="1"/>
      <c r="H780" s="1"/>
      <c r="I780" s="1"/>
      <c r="J780" s="1"/>
      <c r="K780" s="1"/>
      <c r="L780" s="1"/>
      <c r="M780" s="1"/>
      <c r="N780" s="1"/>
      <c r="O780" s="1"/>
      <c r="P780" s="1"/>
      <c r="Q780" s="1"/>
      <c r="R780" s="1"/>
      <c r="S780" s="1"/>
      <c r="T780" s="1"/>
      <c r="U780" s="1"/>
      <c r="V780" s="1"/>
      <c r="W780" s="1"/>
    </row>
    <row r="781" spans="1:23">
      <c r="A781" s="223"/>
      <c r="B781" s="1"/>
      <c r="C781" s="1"/>
      <c r="D781" s="1"/>
      <c r="E781" s="1"/>
      <c r="F781" s="1"/>
      <c r="G781" s="1"/>
      <c r="H781" s="1"/>
      <c r="I781" s="1"/>
      <c r="J781" s="1"/>
      <c r="K781" s="1"/>
      <c r="L781" s="1"/>
      <c r="M781" s="1"/>
      <c r="N781" s="1"/>
      <c r="O781" s="1"/>
      <c r="P781" s="1"/>
      <c r="Q781" s="1"/>
      <c r="R781" s="1"/>
      <c r="S781" s="1"/>
      <c r="T781" s="1"/>
      <c r="U781" s="1"/>
      <c r="V781" s="1"/>
      <c r="W781" s="1"/>
    </row>
    <row r="782" spans="1:23">
      <c r="A782" s="223"/>
      <c r="B782" s="1"/>
      <c r="C782" s="1"/>
      <c r="D782" s="1"/>
      <c r="E782" s="1"/>
      <c r="F782" s="1"/>
      <c r="G782" s="1"/>
      <c r="H782" s="1"/>
      <c r="I782" s="1"/>
      <c r="J782" s="1"/>
      <c r="K782" s="1"/>
      <c r="L782" s="1"/>
      <c r="M782" s="1"/>
      <c r="N782" s="1"/>
      <c r="O782" s="1"/>
      <c r="P782" s="1"/>
      <c r="Q782" s="1"/>
      <c r="R782" s="1"/>
      <c r="S782" s="1"/>
      <c r="T782" s="1"/>
      <c r="U782" s="1"/>
      <c r="V782" s="1"/>
      <c r="W782" s="1"/>
    </row>
    <row r="783" spans="1:23">
      <c r="A783" s="223"/>
      <c r="B783" s="1"/>
      <c r="C783" s="1"/>
      <c r="D783" s="1"/>
      <c r="E783" s="1"/>
      <c r="F783" s="1"/>
      <c r="G783" s="1"/>
      <c r="H783" s="1"/>
      <c r="I783" s="1"/>
      <c r="J783" s="1"/>
      <c r="K783" s="1"/>
      <c r="L783" s="1"/>
      <c r="M783" s="1"/>
      <c r="N783" s="1"/>
      <c r="O783" s="1"/>
      <c r="P783" s="1"/>
      <c r="Q783" s="1"/>
      <c r="R783" s="1"/>
      <c r="S783" s="1"/>
      <c r="T783" s="1"/>
      <c r="U783" s="1"/>
      <c r="V783" s="1"/>
      <c r="W783" s="1"/>
    </row>
    <row r="784" spans="1:23">
      <c r="A784" s="223"/>
      <c r="B784" s="1"/>
      <c r="C784" s="1"/>
      <c r="D784" s="1"/>
      <c r="E784" s="1"/>
      <c r="F784" s="1"/>
      <c r="G784" s="1"/>
      <c r="H784" s="1"/>
      <c r="I784" s="1"/>
      <c r="J784" s="1"/>
      <c r="K784" s="1"/>
      <c r="L784" s="1"/>
      <c r="M784" s="1"/>
      <c r="N784" s="1"/>
      <c r="O784" s="1"/>
      <c r="P784" s="1"/>
      <c r="Q784" s="1"/>
      <c r="R784" s="1"/>
      <c r="S784" s="1"/>
      <c r="T784" s="1"/>
      <c r="U784" s="1"/>
      <c r="V784" s="1"/>
      <c r="W784" s="1"/>
    </row>
    <row r="785" spans="1:23">
      <c r="A785" s="223"/>
      <c r="B785" s="1"/>
      <c r="C785" s="1"/>
      <c r="D785" s="1"/>
      <c r="E785" s="1"/>
      <c r="F785" s="1"/>
      <c r="G785" s="1"/>
      <c r="H785" s="1"/>
      <c r="I785" s="1"/>
      <c r="J785" s="1"/>
      <c r="K785" s="1"/>
      <c r="L785" s="1"/>
      <c r="M785" s="1"/>
      <c r="N785" s="1"/>
      <c r="O785" s="1"/>
      <c r="P785" s="1"/>
      <c r="Q785" s="1"/>
      <c r="R785" s="1"/>
      <c r="S785" s="1"/>
      <c r="T785" s="1"/>
      <c r="U785" s="1"/>
      <c r="V785" s="1"/>
      <c r="W785" s="1"/>
    </row>
    <row r="786" spans="1:23">
      <c r="A786" s="223"/>
      <c r="B786" s="1"/>
      <c r="C786" s="1"/>
      <c r="D786" s="1"/>
      <c r="E786" s="1"/>
      <c r="F786" s="1"/>
      <c r="G786" s="1"/>
      <c r="H786" s="1"/>
      <c r="I786" s="1"/>
      <c r="J786" s="1"/>
      <c r="K786" s="1"/>
      <c r="L786" s="1"/>
      <c r="M786" s="1"/>
      <c r="N786" s="1"/>
      <c r="O786" s="1"/>
      <c r="P786" s="1"/>
      <c r="Q786" s="1"/>
      <c r="R786" s="1"/>
      <c r="S786" s="1"/>
      <c r="T786" s="1"/>
      <c r="U786" s="1"/>
      <c r="V786" s="1"/>
      <c r="W786" s="1"/>
    </row>
    <row r="787" spans="1:23">
      <c r="A787" s="223"/>
      <c r="B787" s="1"/>
      <c r="C787" s="1"/>
      <c r="D787" s="1"/>
      <c r="E787" s="1"/>
      <c r="F787" s="1"/>
      <c r="G787" s="1"/>
      <c r="H787" s="1"/>
      <c r="I787" s="1"/>
      <c r="J787" s="1"/>
      <c r="K787" s="1"/>
      <c r="L787" s="1"/>
      <c r="M787" s="1"/>
      <c r="N787" s="1"/>
      <c r="O787" s="1"/>
      <c r="P787" s="1"/>
      <c r="Q787" s="1"/>
      <c r="R787" s="1"/>
      <c r="S787" s="1"/>
      <c r="T787" s="1"/>
      <c r="U787" s="1"/>
      <c r="V787" s="1"/>
      <c r="W787" s="1"/>
    </row>
    <row r="788" spans="1:23">
      <c r="A788" s="223"/>
      <c r="B788" s="1"/>
      <c r="C788" s="1"/>
      <c r="D788" s="1"/>
      <c r="E788" s="1"/>
      <c r="F788" s="1"/>
      <c r="G788" s="1"/>
      <c r="H788" s="1"/>
      <c r="I788" s="1"/>
      <c r="J788" s="1"/>
      <c r="K788" s="1"/>
      <c r="L788" s="1"/>
      <c r="M788" s="1"/>
      <c r="N788" s="1"/>
      <c r="O788" s="1"/>
      <c r="P788" s="1"/>
      <c r="Q788" s="1"/>
      <c r="R788" s="1"/>
      <c r="S788" s="1"/>
      <c r="T788" s="1"/>
      <c r="U788" s="1"/>
      <c r="V788" s="1"/>
      <c r="W788" s="1"/>
    </row>
    <row r="789" spans="1:23">
      <c r="A789" s="223"/>
      <c r="B789" s="1"/>
      <c r="C789" s="1"/>
      <c r="D789" s="1"/>
      <c r="E789" s="1"/>
      <c r="F789" s="1"/>
      <c r="G789" s="1"/>
      <c r="H789" s="1"/>
      <c r="I789" s="1"/>
      <c r="J789" s="1"/>
      <c r="K789" s="1"/>
      <c r="L789" s="1"/>
      <c r="M789" s="1"/>
      <c r="N789" s="1"/>
      <c r="O789" s="1"/>
      <c r="P789" s="1"/>
      <c r="Q789" s="1"/>
      <c r="R789" s="1"/>
      <c r="S789" s="1"/>
      <c r="T789" s="1"/>
      <c r="U789" s="1"/>
      <c r="V789" s="1"/>
      <c r="W789" s="1"/>
    </row>
    <row r="790" spans="1:23">
      <c r="A790" s="223"/>
      <c r="B790" s="1"/>
      <c r="C790" s="1"/>
      <c r="D790" s="1"/>
      <c r="E790" s="1"/>
      <c r="F790" s="1"/>
      <c r="G790" s="1"/>
      <c r="H790" s="1"/>
      <c r="I790" s="1"/>
      <c r="J790" s="1"/>
      <c r="K790" s="1"/>
      <c r="L790" s="1"/>
      <c r="M790" s="1"/>
      <c r="N790" s="1"/>
      <c r="O790" s="1"/>
      <c r="P790" s="1"/>
      <c r="Q790" s="1"/>
      <c r="R790" s="1"/>
      <c r="S790" s="1"/>
      <c r="T790" s="1"/>
      <c r="U790" s="1"/>
      <c r="V790" s="1"/>
      <c r="W790" s="1"/>
    </row>
    <row r="791" spans="1:23">
      <c r="A791" s="223"/>
      <c r="B791" s="1"/>
      <c r="C791" s="1"/>
      <c r="D791" s="1"/>
      <c r="E791" s="1"/>
      <c r="F791" s="1"/>
      <c r="G791" s="1"/>
      <c r="H791" s="1"/>
      <c r="I791" s="1"/>
      <c r="J791" s="1"/>
      <c r="K791" s="1"/>
      <c r="L791" s="1"/>
      <c r="M791" s="1"/>
      <c r="N791" s="1"/>
      <c r="O791" s="1"/>
      <c r="P791" s="1"/>
      <c r="Q791" s="1"/>
      <c r="R791" s="1"/>
      <c r="S791" s="1"/>
      <c r="T791" s="1"/>
      <c r="U791" s="1"/>
      <c r="V791" s="1"/>
      <c r="W791" s="1"/>
    </row>
    <row r="792" spans="1:23">
      <c r="A792" s="223"/>
      <c r="B792" s="1"/>
      <c r="C792" s="1"/>
      <c r="D792" s="1"/>
      <c r="E792" s="1"/>
      <c r="F792" s="1"/>
      <c r="G792" s="1"/>
      <c r="H792" s="1"/>
      <c r="I792" s="1"/>
      <c r="J792" s="1"/>
      <c r="K792" s="1"/>
      <c r="L792" s="1"/>
      <c r="M792" s="1"/>
      <c r="N792" s="1"/>
      <c r="O792" s="1"/>
      <c r="P792" s="1"/>
      <c r="Q792" s="1"/>
      <c r="R792" s="1"/>
      <c r="S792" s="1"/>
      <c r="T792" s="1"/>
      <c r="U792" s="1"/>
      <c r="V792" s="1"/>
      <c r="W792" s="1"/>
    </row>
    <row r="793" spans="1:23">
      <c r="A793" s="223"/>
      <c r="B793" s="1"/>
      <c r="C793" s="1"/>
      <c r="D793" s="1"/>
      <c r="E793" s="1"/>
      <c r="F793" s="1"/>
      <c r="G793" s="1"/>
      <c r="H793" s="1"/>
      <c r="I793" s="1"/>
      <c r="J793" s="1"/>
      <c r="K793" s="1"/>
      <c r="L793" s="1"/>
      <c r="M793" s="1"/>
      <c r="N793" s="1"/>
      <c r="O793" s="1"/>
      <c r="P793" s="1"/>
      <c r="Q793" s="1"/>
      <c r="R793" s="1"/>
      <c r="S793" s="1"/>
      <c r="T793" s="1"/>
      <c r="U793" s="1"/>
      <c r="V793" s="1"/>
      <c r="W793" s="1"/>
    </row>
    <row r="794" spans="1:23">
      <c r="A794" s="223"/>
      <c r="B794" s="1"/>
      <c r="C794" s="1"/>
      <c r="D794" s="1"/>
      <c r="E794" s="1"/>
      <c r="F794" s="1"/>
      <c r="G794" s="1"/>
      <c r="H794" s="1"/>
      <c r="I794" s="1"/>
      <c r="J794" s="1"/>
      <c r="K794" s="1"/>
      <c r="L794" s="1"/>
      <c r="M794" s="1"/>
      <c r="N794" s="1"/>
      <c r="O794" s="1"/>
      <c r="P794" s="1"/>
      <c r="Q794" s="1"/>
      <c r="R794" s="1"/>
      <c r="S794" s="1"/>
      <c r="T794" s="1"/>
      <c r="U794" s="1"/>
      <c r="V794" s="1"/>
      <c r="W794" s="1"/>
    </row>
    <row r="795" spans="1:23">
      <c r="A795" s="223"/>
      <c r="B795" s="1"/>
      <c r="C795" s="1"/>
      <c r="D795" s="1"/>
      <c r="E795" s="1"/>
      <c r="F795" s="1"/>
      <c r="G795" s="1"/>
      <c r="H795" s="1"/>
      <c r="I795" s="1"/>
      <c r="J795" s="1"/>
      <c r="K795" s="1"/>
      <c r="L795" s="1"/>
      <c r="M795" s="1"/>
      <c r="N795" s="1"/>
      <c r="O795" s="1"/>
      <c r="P795" s="1"/>
      <c r="Q795" s="1"/>
      <c r="R795" s="1"/>
      <c r="S795" s="1"/>
      <c r="T795" s="1"/>
      <c r="U795" s="1"/>
      <c r="V795" s="1"/>
      <c r="W795" s="1"/>
    </row>
    <row r="796" spans="1:23">
      <c r="A796" s="223"/>
      <c r="B796" s="1"/>
      <c r="C796" s="1"/>
      <c r="D796" s="1"/>
      <c r="E796" s="1"/>
      <c r="F796" s="1"/>
      <c r="G796" s="1"/>
      <c r="H796" s="1"/>
      <c r="I796" s="1"/>
      <c r="J796" s="1"/>
      <c r="K796" s="1"/>
      <c r="L796" s="1"/>
      <c r="M796" s="1"/>
      <c r="N796" s="1"/>
      <c r="O796" s="1"/>
      <c r="P796" s="1"/>
      <c r="Q796" s="1"/>
      <c r="R796" s="1"/>
      <c r="S796" s="1"/>
      <c r="T796" s="1"/>
      <c r="U796" s="1"/>
      <c r="V796" s="1"/>
      <c r="W796" s="1"/>
    </row>
    <row r="797" spans="1:23">
      <c r="A797" s="223"/>
      <c r="B797" s="1"/>
      <c r="C797" s="1"/>
      <c r="D797" s="1"/>
      <c r="E797" s="1"/>
      <c r="F797" s="1"/>
      <c r="G797" s="1"/>
      <c r="H797" s="1"/>
      <c r="I797" s="1"/>
      <c r="J797" s="1"/>
      <c r="K797" s="1"/>
      <c r="L797" s="1"/>
      <c r="M797" s="1"/>
      <c r="N797" s="1"/>
      <c r="O797" s="1"/>
      <c r="P797" s="1"/>
      <c r="Q797" s="1"/>
      <c r="R797" s="1"/>
      <c r="S797" s="1"/>
      <c r="T797" s="1"/>
      <c r="U797" s="1"/>
      <c r="V797" s="1"/>
      <c r="W797" s="1"/>
    </row>
    <row r="798" spans="1:23">
      <c r="A798" s="223"/>
      <c r="B798" s="1"/>
      <c r="C798" s="1"/>
      <c r="D798" s="1"/>
      <c r="E798" s="1"/>
      <c r="F798" s="1"/>
      <c r="G798" s="1"/>
      <c r="H798" s="1"/>
      <c r="I798" s="1"/>
      <c r="J798" s="1"/>
      <c r="K798" s="1"/>
      <c r="L798" s="1"/>
      <c r="M798" s="1"/>
      <c r="N798" s="1"/>
      <c r="O798" s="1"/>
      <c r="P798" s="1"/>
      <c r="Q798" s="1"/>
      <c r="R798" s="1"/>
      <c r="S798" s="1"/>
      <c r="T798" s="1"/>
      <c r="U798" s="1"/>
      <c r="V798" s="1"/>
      <c r="W798" s="1"/>
    </row>
    <row r="799" spans="1:23">
      <c r="A799" s="223"/>
      <c r="B799" s="1"/>
      <c r="C799" s="1"/>
      <c r="D799" s="1"/>
      <c r="E799" s="1"/>
      <c r="F799" s="1"/>
      <c r="G799" s="1"/>
      <c r="H799" s="1"/>
      <c r="I799" s="1"/>
      <c r="J799" s="1"/>
      <c r="K799" s="1"/>
      <c r="L799" s="1"/>
      <c r="M799" s="1"/>
      <c r="N799" s="1"/>
      <c r="O799" s="1"/>
      <c r="P799" s="1"/>
      <c r="Q799" s="1"/>
      <c r="R799" s="1"/>
      <c r="S799" s="1"/>
      <c r="T799" s="1"/>
      <c r="U799" s="1"/>
      <c r="V799" s="1"/>
      <c r="W799" s="1"/>
    </row>
    <row r="800" spans="1:23">
      <c r="A800" s="223"/>
      <c r="B800" s="1"/>
      <c r="C800" s="1"/>
      <c r="D800" s="1"/>
      <c r="E800" s="1"/>
      <c r="F800" s="1"/>
      <c r="G800" s="1"/>
      <c r="H800" s="1"/>
      <c r="I800" s="1"/>
      <c r="J800" s="1"/>
      <c r="K800" s="1"/>
      <c r="L800" s="1"/>
      <c r="M800" s="1"/>
      <c r="N800" s="1"/>
      <c r="O800" s="1"/>
      <c r="P800" s="1"/>
      <c r="Q800" s="1"/>
      <c r="R800" s="1"/>
      <c r="S800" s="1"/>
      <c r="T800" s="1"/>
      <c r="U800" s="1"/>
      <c r="V800" s="1"/>
      <c r="W800" s="1"/>
    </row>
    <row r="801" spans="1:23">
      <c r="A801" s="223"/>
      <c r="B801" s="1"/>
      <c r="C801" s="1"/>
      <c r="D801" s="1"/>
      <c r="E801" s="1"/>
      <c r="F801" s="1"/>
      <c r="G801" s="1"/>
      <c r="H801" s="1"/>
      <c r="I801" s="1"/>
      <c r="J801" s="1"/>
      <c r="K801" s="1"/>
      <c r="L801" s="1"/>
      <c r="M801" s="1"/>
      <c r="N801" s="1"/>
      <c r="O801" s="1"/>
      <c r="P801" s="1"/>
      <c r="Q801" s="1"/>
      <c r="R801" s="1"/>
      <c r="S801" s="1"/>
      <c r="T801" s="1"/>
      <c r="U801" s="1"/>
      <c r="V801" s="1"/>
      <c r="W801" s="1"/>
    </row>
    <row r="802" spans="1:23">
      <c r="A802" s="223"/>
      <c r="B802" s="1"/>
      <c r="C802" s="1"/>
      <c r="D802" s="1"/>
      <c r="E802" s="1"/>
      <c r="F802" s="1"/>
      <c r="G802" s="1"/>
      <c r="H802" s="1"/>
      <c r="I802" s="1"/>
      <c r="J802" s="1"/>
      <c r="K802" s="1"/>
      <c r="L802" s="1"/>
      <c r="M802" s="1"/>
      <c r="N802" s="1"/>
      <c r="O802" s="1"/>
      <c r="P802" s="1"/>
      <c r="Q802" s="1"/>
      <c r="R802" s="1"/>
      <c r="S802" s="1"/>
      <c r="T802" s="1"/>
      <c r="U802" s="1"/>
      <c r="V802" s="1"/>
      <c r="W802" s="1"/>
    </row>
    <row r="803" spans="1:23">
      <c r="A803" s="223"/>
      <c r="B803" s="1"/>
      <c r="C803" s="1"/>
      <c r="D803" s="1"/>
      <c r="E803" s="1"/>
      <c r="F803" s="1"/>
      <c r="G803" s="1"/>
      <c r="H803" s="1"/>
      <c r="I803" s="1"/>
      <c r="J803" s="1"/>
      <c r="K803" s="1"/>
      <c r="L803" s="1"/>
      <c r="M803" s="1"/>
      <c r="N803" s="1"/>
      <c r="O803" s="1"/>
      <c r="P803" s="1"/>
      <c r="Q803" s="1"/>
      <c r="R803" s="1"/>
      <c r="S803" s="1"/>
      <c r="T803" s="1"/>
      <c r="U803" s="1"/>
      <c r="V803" s="1"/>
      <c r="W803" s="1"/>
    </row>
    <row r="804" spans="1:23">
      <c r="A804" s="223"/>
      <c r="B804" s="1"/>
      <c r="C804" s="1"/>
      <c r="D804" s="1"/>
      <c r="E804" s="1"/>
      <c r="F804" s="1"/>
      <c r="G804" s="1"/>
      <c r="H804" s="1"/>
      <c r="I804" s="1"/>
      <c r="J804" s="1"/>
      <c r="K804" s="1"/>
      <c r="L804" s="1"/>
      <c r="M804" s="1"/>
      <c r="N804" s="1"/>
      <c r="O804" s="1"/>
      <c r="P804" s="1"/>
      <c r="Q804" s="1"/>
      <c r="R804" s="1"/>
      <c r="S804" s="1"/>
      <c r="T804" s="1"/>
      <c r="U804" s="1"/>
      <c r="V804" s="1"/>
      <c r="W804" s="1"/>
    </row>
    <row r="805" spans="1:23">
      <c r="A805" s="223"/>
      <c r="B805" s="1"/>
      <c r="C805" s="1"/>
      <c r="D805" s="1"/>
      <c r="E805" s="1"/>
      <c r="F805" s="1"/>
      <c r="G805" s="1"/>
      <c r="H805" s="1"/>
      <c r="I805" s="1"/>
      <c r="J805" s="1"/>
      <c r="K805" s="1"/>
      <c r="L805" s="1"/>
      <c r="M805" s="1"/>
      <c r="N805" s="1"/>
      <c r="O805" s="1"/>
      <c r="P805" s="1"/>
      <c r="Q805" s="1"/>
      <c r="R805" s="1"/>
      <c r="S805" s="1"/>
      <c r="T805" s="1"/>
      <c r="U805" s="1"/>
      <c r="V805" s="1"/>
      <c r="W805" s="1"/>
    </row>
    <row r="806" spans="1:23">
      <c r="A806" s="223"/>
      <c r="B806" s="1"/>
      <c r="C806" s="1"/>
      <c r="D806" s="1"/>
      <c r="E806" s="1"/>
      <c r="F806" s="1"/>
      <c r="G806" s="1"/>
      <c r="H806" s="1"/>
      <c r="I806" s="1"/>
      <c r="J806" s="1"/>
      <c r="K806" s="1"/>
      <c r="L806" s="1"/>
      <c r="M806" s="1"/>
      <c r="N806" s="1"/>
      <c r="O806" s="1"/>
      <c r="P806" s="1"/>
      <c r="Q806" s="1"/>
      <c r="R806" s="1"/>
      <c r="S806" s="1"/>
      <c r="T806" s="1"/>
      <c r="U806" s="1"/>
      <c r="V806" s="1"/>
      <c r="W806" s="1"/>
    </row>
    <row r="807" spans="1:23">
      <c r="A807" s="223"/>
      <c r="B807" s="1"/>
      <c r="C807" s="1"/>
      <c r="D807" s="1"/>
      <c r="E807" s="1"/>
      <c r="F807" s="1"/>
      <c r="G807" s="1"/>
      <c r="H807" s="1"/>
      <c r="I807" s="1"/>
      <c r="J807" s="1"/>
      <c r="K807" s="1"/>
      <c r="L807" s="1"/>
      <c r="M807" s="1"/>
      <c r="N807" s="1"/>
      <c r="O807" s="1"/>
      <c r="P807" s="1"/>
      <c r="Q807" s="1"/>
      <c r="R807" s="1"/>
      <c r="S807" s="1"/>
      <c r="T807" s="1"/>
      <c r="U807" s="1"/>
      <c r="V807" s="1"/>
      <c r="W807" s="1"/>
    </row>
    <row r="808" spans="1:23">
      <c r="A808" s="223"/>
      <c r="B808" s="1"/>
      <c r="C808" s="1"/>
      <c r="D808" s="1"/>
      <c r="E808" s="1"/>
      <c r="F808" s="1"/>
      <c r="G808" s="1"/>
      <c r="H808" s="1"/>
      <c r="I808" s="1"/>
      <c r="J808" s="1"/>
      <c r="K808" s="1"/>
      <c r="L808" s="1"/>
      <c r="M808" s="1"/>
      <c r="N808" s="1"/>
      <c r="O808" s="1"/>
      <c r="P808" s="1"/>
      <c r="Q808" s="1"/>
      <c r="R808" s="1"/>
      <c r="S808" s="1"/>
      <c r="T808" s="1"/>
      <c r="U808" s="1"/>
      <c r="V808" s="1"/>
      <c r="W808" s="1"/>
    </row>
    <row r="809" spans="1:23">
      <c r="A809" s="223"/>
      <c r="B809" s="1"/>
      <c r="C809" s="1"/>
      <c r="D809" s="1"/>
      <c r="E809" s="1"/>
      <c r="F809" s="1"/>
      <c r="G809" s="1"/>
      <c r="H809" s="1"/>
      <c r="I809" s="1"/>
      <c r="J809" s="1"/>
      <c r="K809" s="1"/>
      <c r="L809" s="1"/>
      <c r="M809" s="1"/>
      <c r="N809" s="1"/>
      <c r="O809" s="1"/>
      <c r="P809" s="1"/>
      <c r="Q809" s="1"/>
      <c r="R809" s="1"/>
      <c r="S809" s="1"/>
      <c r="T809" s="1"/>
      <c r="U809" s="1"/>
      <c r="V809" s="1"/>
      <c r="W809" s="1"/>
    </row>
    <row r="810" spans="1:23">
      <c r="A810" s="223"/>
      <c r="B810" s="1"/>
      <c r="C810" s="1"/>
      <c r="D810" s="1"/>
      <c r="E810" s="1"/>
      <c r="F810" s="1"/>
      <c r="G810" s="1"/>
      <c r="H810" s="1"/>
      <c r="I810" s="1"/>
      <c r="J810" s="1"/>
      <c r="K810" s="1"/>
      <c r="L810" s="1"/>
      <c r="M810" s="1"/>
      <c r="N810" s="1"/>
      <c r="O810" s="1"/>
      <c r="P810" s="1"/>
      <c r="Q810" s="1"/>
      <c r="R810" s="1"/>
      <c r="S810" s="1"/>
      <c r="T810" s="1"/>
      <c r="U810" s="1"/>
      <c r="V810" s="1"/>
      <c r="W810" s="1"/>
    </row>
    <row r="811" spans="1:23">
      <c r="A811" s="223"/>
      <c r="B811" s="1"/>
      <c r="C811" s="1"/>
      <c r="D811" s="1"/>
      <c r="E811" s="1"/>
      <c r="F811" s="1"/>
      <c r="G811" s="1"/>
      <c r="H811" s="1"/>
      <c r="I811" s="1"/>
      <c r="J811" s="1"/>
      <c r="K811" s="1"/>
      <c r="L811" s="1"/>
      <c r="M811" s="1"/>
      <c r="N811" s="1"/>
      <c r="O811" s="1"/>
      <c r="P811" s="1"/>
      <c r="Q811" s="1"/>
      <c r="R811" s="1"/>
      <c r="S811" s="1"/>
      <c r="T811" s="1"/>
      <c r="U811" s="1"/>
      <c r="V811" s="1"/>
      <c r="W811" s="1"/>
    </row>
    <row r="812" spans="1:23">
      <c r="A812" s="223"/>
      <c r="B812" s="1"/>
      <c r="C812" s="1"/>
      <c r="D812" s="1"/>
      <c r="E812" s="1"/>
      <c r="F812" s="1"/>
      <c r="G812" s="1"/>
      <c r="H812" s="1"/>
      <c r="I812" s="1"/>
      <c r="J812" s="1"/>
      <c r="K812" s="1"/>
      <c r="L812" s="1"/>
      <c r="M812" s="1"/>
      <c r="N812" s="1"/>
      <c r="O812" s="1"/>
      <c r="P812" s="1"/>
      <c r="Q812" s="1"/>
      <c r="R812" s="1"/>
      <c r="S812" s="1"/>
      <c r="T812" s="1"/>
      <c r="U812" s="1"/>
      <c r="V812" s="1"/>
      <c r="W812" s="1"/>
    </row>
    <row r="813" spans="1:23">
      <c r="A813" s="223"/>
      <c r="B813" s="1"/>
      <c r="C813" s="1"/>
      <c r="D813" s="1"/>
      <c r="E813" s="1"/>
      <c r="F813" s="1"/>
      <c r="G813" s="1"/>
      <c r="H813" s="1"/>
      <c r="I813" s="1"/>
      <c r="J813" s="1"/>
      <c r="K813" s="1"/>
      <c r="L813" s="1"/>
      <c r="M813" s="1"/>
      <c r="N813" s="1"/>
      <c r="O813" s="1"/>
      <c r="P813" s="1"/>
      <c r="Q813" s="1"/>
      <c r="R813" s="1"/>
      <c r="S813" s="1"/>
      <c r="T813" s="1"/>
      <c r="U813" s="1"/>
      <c r="V813" s="1"/>
      <c r="W813" s="1"/>
    </row>
    <row r="814" spans="1:23">
      <c r="A814" s="223"/>
      <c r="B814" s="1"/>
      <c r="C814" s="1"/>
      <c r="D814" s="1"/>
      <c r="E814" s="1"/>
      <c r="F814" s="1"/>
      <c r="G814" s="1"/>
      <c r="H814" s="1"/>
      <c r="I814" s="1"/>
      <c r="J814" s="1"/>
      <c r="K814" s="1"/>
      <c r="L814" s="1"/>
      <c r="M814" s="1"/>
      <c r="N814" s="1"/>
      <c r="O814" s="1"/>
      <c r="P814" s="1"/>
      <c r="Q814" s="1"/>
      <c r="R814" s="1"/>
      <c r="S814" s="1"/>
      <c r="T814" s="1"/>
      <c r="U814" s="1"/>
      <c r="V814" s="1"/>
      <c r="W814" s="1"/>
    </row>
    <row r="815" spans="1:23">
      <c r="A815" s="223"/>
      <c r="B815" s="1"/>
      <c r="C815" s="1"/>
      <c r="D815" s="1"/>
      <c r="E815" s="1"/>
      <c r="F815" s="1"/>
      <c r="G815" s="1"/>
      <c r="H815" s="1"/>
      <c r="I815" s="1"/>
      <c r="J815" s="1"/>
      <c r="K815" s="1"/>
      <c r="L815" s="1"/>
      <c r="M815" s="1"/>
      <c r="N815" s="1"/>
      <c r="O815" s="1"/>
      <c r="P815" s="1"/>
      <c r="Q815" s="1"/>
      <c r="R815" s="1"/>
      <c r="S815" s="1"/>
      <c r="T815" s="1"/>
      <c r="U815" s="1"/>
      <c r="V815" s="1"/>
      <c r="W815" s="1"/>
    </row>
    <row r="816" spans="1:23">
      <c r="A816" s="223"/>
      <c r="B816" s="1"/>
      <c r="C816" s="1"/>
      <c r="D816" s="1"/>
      <c r="E816" s="1"/>
      <c r="F816" s="1"/>
      <c r="G816" s="1"/>
      <c r="H816" s="1"/>
      <c r="I816" s="1"/>
      <c r="J816" s="1"/>
      <c r="K816" s="1"/>
      <c r="L816" s="1"/>
      <c r="M816" s="1"/>
      <c r="N816" s="1"/>
      <c r="O816" s="1"/>
      <c r="P816" s="1"/>
      <c r="Q816" s="1"/>
      <c r="R816" s="1"/>
      <c r="S816" s="1"/>
      <c r="T816" s="1"/>
      <c r="U816" s="1"/>
      <c r="V816" s="1"/>
      <c r="W816" s="1"/>
    </row>
    <row r="817" spans="1:23">
      <c r="A817" s="223"/>
      <c r="B817" s="1"/>
      <c r="C817" s="1"/>
      <c r="D817" s="1"/>
      <c r="E817" s="1"/>
      <c r="F817" s="1"/>
      <c r="G817" s="1"/>
      <c r="H817" s="1"/>
      <c r="I817" s="1"/>
      <c r="J817" s="1"/>
      <c r="K817" s="1"/>
      <c r="L817" s="1"/>
      <c r="M817" s="1"/>
      <c r="N817" s="1"/>
      <c r="O817" s="1"/>
      <c r="P817" s="1"/>
      <c r="Q817" s="1"/>
      <c r="R817" s="1"/>
      <c r="S817" s="1"/>
      <c r="T817" s="1"/>
      <c r="U817" s="1"/>
      <c r="V817" s="1"/>
      <c r="W817" s="1"/>
    </row>
    <row r="818" spans="1:23">
      <c r="A818" s="223"/>
      <c r="B818" s="1"/>
      <c r="C818" s="1"/>
      <c r="D818" s="1"/>
      <c r="E818" s="1"/>
      <c r="F818" s="1"/>
      <c r="G818" s="1"/>
      <c r="H818" s="1"/>
      <c r="I818" s="1"/>
      <c r="J818" s="1"/>
      <c r="K818" s="1"/>
      <c r="L818" s="1"/>
      <c r="M818" s="1"/>
      <c r="N818" s="1"/>
      <c r="O818" s="1"/>
      <c r="P818" s="1"/>
      <c r="Q818" s="1"/>
      <c r="R818" s="1"/>
      <c r="S818" s="1"/>
      <c r="T818" s="1"/>
      <c r="U818" s="1"/>
      <c r="V818" s="1"/>
      <c r="W818" s="1"/>
    </row>
    <row r="819" spans="1:23">
      <c r="A819" s="223"/>
      <c r="B819" s="1"/>
      <c r="C819" s="1"/>
      <c r="D819" s="1"/>
      <c r="E819" s="1"/>
      <c r="F819" s="1"/>
      <c r="G819" s="1"/>
      <c r="H819" s="1"/>
      <c r="I819" s="1"/>
      <c r="J819" s="1"/>
      <c r="K819" s="1"/>
      <c r="L819" s="1"/>
      <c r="M819" s="1"/>
      <c r="N819" s="1"/>
      <c r="O819" s="1"/>
      <c r="P819" s="1"/>
      <c r="Q819" s="1"/>
      <c r="R819" s="1"/>
      <c r="S819" s="1"/>
      <c r="T819" s="1"/>
      <c r="U819" s="1"/>
      <c r="V819" s="1"/>
      <c r="W819" s="1"/>
    </row>
    <row r="820" spans="1:23">
      <c r="A820" s="223"/>
      <c r="B820" s="1"/>
      <c r="C820" s="1"/>
      <c r="D820" s="1"/>
      <c r="E820" s="1"/>
      <c r="F820" s="1"/>
      <c r="G820" s="1"/>
      <c r="H820" s="1"/>
      <c r="I820" s="1"/>
      <c r="J820" s="1"/>
      <c r="K820" s="1"/>
      <c r="L820" s="1"/>
      <c r="M820" s="1"/>
      <c r="N820" s="1"/>
      <c r="O820" s="1"/>
      <c r="P820" s="1"/>
      <c r="Q820" s="1"/>
      <c r="R820" s="1"/>
      <c r="S820" s="1"/>
      <c r="T820" s="1"/>
      <c r="U820" s="1"/>
      <c r="V820" s="1"/>
      <c r="W820" s="1"/>
    </row>
    <row r="821" spans="1:23">
      <c r="A821" s="223"/>
      <c r="B821" s="1"/>
      <c r="C821" s="1"/>
      <c r="D821" s="1"/>
      <c r="E821" s="1"/>
      <c r="F821" s="1"/>
      <c r="G821" s="1"/>
      <c r="H821" s="1"/>
      <c r="I821" s="1"/>
      <c r="J821" s="1"/>
      <c r="K821" s="1"/>
      <c r="L821" s="1"/>
      <c r="M821" s="1"/>
      <c r="N821" s="1"/>
      <c r="O821" s="1"/>
      <c r="P821" s="1"/>
      <c r="Q821" s="1"/>
      <c r="R821" s="1"/>
      <c r="S821" s="1"/>
      <c r="T821" s="1"/>
      <c r="U821" s="1"/>
      <c r="V821" s="1"/>
      <c r="W821" s="1"/>
    </row>
    <row r="822" spans="1:23">
      <c r="A822" s="223"/>
      <c r="B822" s="1"/>
      <c r="C822" s="1"/>
      <c r="D822" s="1"/>
      <c r="E822" s="1"/>
      <c r="F822" s="1"/>
      <c r="G822" s="1"/>
      <c r="H822" s="1"/>
      <c r="I822" s="1"/>
      <c r="J822" s="1"/>
      <c r="K822" s="1"/>
      <c r="L822" s="1"/>
      <c r="M822" s="1"/>
      <c r="N822" s="1"/>
      <c r="O822" s="1"/>
      <c r="P822" s="1"/>
      <c r="Q822" s="1"/>
      <c r="R822" s="1"/>
      <c r="S822" s="1"/>
      <c r="T822" s="1"/>
      <c r="U822" s="1"/>
      <c r="V822" s="1"/>
      <c r="W822" s="1"/>
    </row>
    <row r="823" spans="1:23">
      <c r="A823" s="223"/>
      <c r="B823" s="1"/>
      <c r="C823" s="1"/>
      <c r="D823" s="1"/>
      <c r="E823" s="1"/>
      <c r="F823" s="1"/>
      <c r="G823" s="1"/>
      <c r="H823" s="1"/>
      <c r="I823" s="1"/>
      <c r="J823" s="1"/>
      <c r="K823" s="1"/>
      <c r="L823" s="1"/>
      <c r="M823" s="1"/>
      <c r="N823" s="1"/>
      <c r="O823" s="1"/>
      <c r="P823" s="1"/>
      <c r="Q823" s="1"/>
      <c r="R823" s="1"/>
      <c r="S823" s="1"/>
      <c r="T823" s="1"/>
      <c r="U823" s="1"/>
      <c r="V823" s="1"/>
      <c r="W823" s="1"/>
    </row>
    <row r="824" spans="1:23">
      <c r="A824" s="223"/>
      <c r="B824" s="1"/>
      <c r="C824" s="1"/>
      <c r="D824" s="1"/>
      <c r="E824" s="1"/>
      <c r="F824" s="1"/>
      <c r="G824" s="1"/>
      <c r="H824" s="1"/>
      <c r="I824" s="1"/>
      <c r="J824" s="1"/>
      <c r="K824" s="1"/>
      <c r="L824" s="1"/>
      <c r="M824" s="1"/>
      <c r="N824" s="1"/>
      <c r="O824" s="1"/>
      <c r="P824" s="1"/>
      <c r="Q824" s="1"/>
      <c r="R824" s="1"/>
      <c r="S824" s="1"/>
      <c r="T824" s="1"/>
      <c r="U824" s="1"/>
      <c r="V824" s="1"/>
      <c r="W824" s="1"/>
    </row>
    <row r="825" spans="1:23">
      <c r="A825" s="223"/>
      <c r="B825" s="1"/>
      <c r="C825" s="1"/>
      <c r="D825" s="1"/>
      <c r="E825" s="1"/>
      <c r="F825" s="1"/>
      <c r="G825" s="1"/>
      <c r="H825" s="1"/>
      <c r="I825" s="1"/>
      <c r="J825" s="1"/>
      <c r="K825" s="1"/>
      <c r="L825" s="1"/>
      <c r="M825" s="1"/>
      <c r="N825" s="1"/>
      <c r="O825" s="1"/>
      <c r="P825" s="1"/>
      <c r="Q825" s="1"/>
      <c r="R825" s="1"/>
      <c r="S825" s="1"/>
      <c r="T825" s="1"/>
      <c r="U825" s="1"/>
      <c r="V825" s="1"/>
      <c r="W825" s="1"/>
    </row>
    <row r="826" spans="1:23">
      <c r="A826" s="223"/>
      <c r="B826" s="1"/>
      <c r="C826" s="1"/>
      <c r="D826" s="1"/>
      <c r="E826" s="1"/>
      <c r="F826" s="1"/>
      <c r="G826" s="1"/>
      <c r="H826" s="1"/>
      <c r="I826" s="1"/>
      <c r="J826" s="1"/>
      <c r="K826" s="1"/>
      <c r="L826" s="1"/>
      <c r="M826" s="1"/>
      <c r="N826" s="1"/>
      <c r="O826" s="1"/>
      <c r="P826" s="1"/>
      <c r="Q826" s="1"/>
      <c r="R826" s="1"/>
      <c r="S826" s="1"/>
      <c r="T826" s="1"/>
      <c r="U826" s="1"/>
      <c r="V826" s="1"/>
      <c r="W826" s="1"/>
    </row>
    <row r="827" spans="1:23">
      <c r="A827" s="223"/>
      <c r="B827" s="1"/>
      <c r="C827" s="1"/>
      <c r="D827" s="1"/>
      <c r="E827" s="1"/>
      <c r="F827" s="1"/>
      <c r="G827" s="1"/>
      <c r="H827" s="1"/>
      <c r="I827" s="1"/>
      <c r="J827" s="1"/>
      <c r="K827" s="1"/>
      <c r="L827" s="1"/>
      <c r="M827" s="1"/>
      <c r="N827" s="1"/>
      <c r="O827" s="1"/>
      <c r="P827" s="1"/>
      <c r="Q827" s="1"/>
      <c r="R827" s="1"/>
      <c r="S827" s="1"/>
      <c r="T827" s="1"/>
      <c r="U827" s="1"/>
      <c r="V827" s="1"/>
      <c r="W827" s="1"/>
    </row>
    <row r="828" spans="1:23">
      <c r="A828" s="223"/>
      <c r="B828" s="1"/>
      <c r="C828" s="1"/>
      <c r="D828" s="1"/>
      <c r="E828" s="1"/>
      <c r="F828" s="1"/>
      <c r="G828" s="1"/>
      <c r="H828" s="1"/>
      <c r="I828" s="1"/>
      <c r="J828" s="1"/>
      <c r="K828" s="1"/>
      <c r="L828" s="1"/>
      <c r="M828" s="1"/>
      <c r="N828" s="1"/>
      <c r="O828" s="1"/>
      <c r="P828" s="1"/>
      <c r="Q828" s="1"/>
      <c r="R828" s="1"/>
      <c r="S828" s="1"/>
      <c r="T828" s="1"/>
      <c r="U828" s="1"/>
      <c r="V828" s="1"/>
      <c r="W828" s="1"/>
    </row>
    <row r="829" spans="1:23">
      <c r="A829" s="223"/>
      <c r="B829" s="1"/>
      <c r="C829" s="1"/>
      <c r="D829" s="1"/>
      <c r="E829" s="1"/>
      <c r="F829" s="1"/>
      <c r="G829" s="1"/>
      <c r="H829" s="1"/>
      <c r="I829" s="1"/>
      <c r="J829" s="1"/>
      <c r="K829" s="1"/>
      <c r="L829" s="1"/>
      <c r="M829" s="1"/>
      <c r="N829" s="1"/>
      <c r="O829" s="1"/>
      <c r="P829" s="1"/>
      <c r="Q829" s="1"/>
      <c r="R829" s="1"/>
      <c r="S829" s="1"/>
      <c r="T829" s="1"/>
      <c r="U829" s="1"/>
      <c r="V829" s="1"/>
      <c r="W829" s="1"/>
    </row>
    <row r="830" spans="1:23">
      <c r="A830" s="223"/>
      <c r="B830" s="1"/>
      <c r="C830" s="1"/>
      <c r="D830" s="1"/>
      <c r="E830" s="1"/>
      <c r="F830" s="1"/>
      <c r="G830" s="1"/>
      <c r="H830" s="1"/>
      <c r="I830" s="1"/>
      <c r="J830" s="1"/>
      <c r="K830" s="1"/>
      <c r="L830" s="1"/>
      <c r="M830" s="1"/>
      <c r="N830" s="1"/>
      <c r="O830" s="1"/>
      <c r="P830" s="1"/>
      <c r="Q830" s="1"/>
      <c r="R830" s="1"/>
      <c r="S830" s="1"/>
      <c r="T830" s="1"/>
      <c r="U830" s="1"/>
      <c r="V830" s="1"/>
      <c r="W830" s="1"/>
    </row>
    <row r="831" spans="1:23">
      <c r="A831" s="223"/>
      <c r="B831" s="1"/>
      <c r="C831" s="1"/>
      <c r="D831" s="1"/>
      <c r="E831" s="1"/>
      <c r="F831" s="1"/>
      <c r="G831" s="1"/>
      <c r="H831" s="1"/>
      <c r="I831" s="1"/>
      <c r="J831" s="1"/>
      <c r="K831" s="1"/>
      <c r="L831" s="1"/>
      <c r="M831" s="1"/>
      <c r="N831" s="1"/>
      <c r="O831" s="1"/>
      <c r="P831" s="1"/>
      <c r="Q831" s="1"/>
      <c r="R831" s="1"/>
      <c r="S831" s="1"/>
      <c r="T831" s="1"/>
      <c r="U831" s="1"/>
      <c r="V831" s="1"/>
      <c r="W831" s="1"/>
    </row>
    <row r="832" spans="1:23">
      <c r="A832" s="223"/>
      <c r="B832" s="1"/>
      <c r="C832" s="1"/>
      <c r="D832" s="1"/>
      <c r="E832" s="1"/>
      <c r="F832" s="1"/>
      <c r="G832" s="1"/>
      <c r="H832" s="1"/>
      <c r="I832" s="1"/>
      <c r="J832" s="1"/>
      <c r="K832" s="1"/>
      <c r="L832" s="1"/>
      <c r="M832" s="1"/>
      <c r="N832" s="1"/>
      <c r="O832" s="1"/>
      <c r="P832" s="1"/>
      <c r="Q832" s="1"/>
      <c r="R832" s="1"/>
      <c r="S832" s="1"/>
      <c r="T832" s="1"/>
      <c r="U832" s="1"/>
      <c r="V832" s="1"/>
      <c r="W832" s="1"/>
    </row>
    <row r="833" spans="1:23">
      <c r="A833" s="223"/>
      <c r="B833" s="1"/>
      <c r="C833" s="1"/>
      <c r="D833" s="1"/>
      <c r="E833" s="1"/>
      <c r="F833" s="1"/>
      <c r="G833" s="1"/>
      <c r="H833" s="1"/>
      <c r="I833" s="1"/>
      <c r="J833" s="1"/>
      <c r="K833" s="1"/>
      <c r="L833" s="1"/>
      <c r="M833" s="1"/>
      <c r="N833" s="1"/>
      <c r="O833" s="1"/>
      <c r="P833" s="1"/>
      <c r="Q833" s="1"/>
      <c r="R833" s="1"/>
      <c r="S833" s="1"/>
      <c r="T833" s="1"/>
      <c r="U833" s="1"/>
      <c r="V833" s="1"/>
      <c r="W833" s="1"/>
    </row>
    <row r="834" spans="1:23">
      <c r="A834" s="223"/>
      <c r="B834" s="1"/>
      <c r="C834" s="1"/>
      <c r="D834" s="1"/>
      <c r="E834" s="1"/>
      <c r="F834" s="1"/>
      <c r="G834" s="1"/>
      <c r="H834" s="1"/>
      <c r="I834" s="1"/>
      <c r="J834" s="1"/>
      <c r="K834" s="1"/>
      <c r="L834" s="1"/>
      <c r="M834" s="1"/>
      <c r="N834" s="1"/>
      <c r="O834" s="1"/>
      <c r="P834" s="1"/>
      <c r="Q834" s="1"/>
      <c r="R834" s="1"/>
      <c r="S834" s="1"/>
      <c r="T834" s="1"/>
      <c r="U834" s="1"/>
      <c r="V834" s="1"/>
      <c r="W834" s="1"/>
    </row>
    <row r="835" spans="1:23">
      <c r="A835" s="223"/>
      <c r="B835" s="1"/>
      <c r="C835" s="1"/>
      <c r="D835" s="1"/>
      <c r="E835" s="1"/>
      <c r="F835" s="1"/>
      <c r="G835" s="1"/>
      <c r="H835" s="1"/>
      <c r="I835" s="1"/>
      <c r="J835" s="1"/>
      <c r="K835" s="1"/>
      <c r="L835" s="1"/>
      <c r="M835" s="1"/>
      <c r="N835" s="1"/>
      <c r="O835" s="1"/>
      <c r="P835" s="1"/>
      <c r="Q835" s="1"/>
      <c r="R835" s="1"/>
      <c r="S835" s="1"/>
      <c r="T835" s="1"/>
      <c r="U835" s="1"/>
      <c r="V835" s="1"/>
      <c r="W835" s="1"/>
    </row>
    <row r="836" spans="1:23">
      <c r="A836" s="223"/>
      <c r="B836" s="1"/>
      <c r="C836" s="1"/>
      <c r="D836" s="1"/>
      <c r="E836" s="1"/>
      <c r="F836" s="1"/>
      <c r="G836" s="1"/>
      <c r="H836" s="1"/>
      <c r="I836" s="1"/>
      <c r="J836" s="1"/>
      <c r="K836" s="1"/>
      <c r="L836" s="1"/>
      <c r="M836" s="1"/>
      <c r="N836" s="1"/>
      <c r="O836" s="1"/>
      <c r="P836" s="1"/>
      <c r="Q836" s="1"/>
      <c r="R836" s="1"/>
      <c r="S836" s="1"/>
      <c r="T836" s="1"/>
      <c r="U836" s="1"/>
      <c r="V836" s="1"/>
      <c r="W836" s="1"/>
    </row>
    <row r="837" spans="1:23">
      <c r="A837" s="223"/>
      <c r="B837" s="1"/>
      <c r="C837" s="1"/>
      <c r="D837" s="1"/>
      <c r="E837" s="1"/>
      <c r="F837" s="1"/>
      <c r="G837" s="1"/>
      <c r="H837" s="1"/>
      <c r="I837" s="1"/>
      <c r="J837" s="1"/>
      <c r="K837" s="1"/>
      <c r="L837" s="1"/>
      <c r="M837" s="1"/>
      <c r="N837" s="1"/>
      <c r="O837" s="1"/>
      <c r="P837" s="1"/>
      <c r="Q837" s="1"/>
      <c r="R837" s="1"/>
      <c r="S837" s="1"/>
      <c r="T837" s="1"/>
      <c r="U837" s="1"/>
      <c r="V837" s="1"/>
      <c r="W837" s="1"/>
    </row>
    <row r="838" spans="1:23">
      <c r="A838" s="223"/>
      <c r="B838" s="1"/>
      <c r="C838" s="1"/>
      <c r="D838" s="1"/>
      <c r="E838" s="1"/>
      <c r="F838" s="1"/>
      <c r="G838" s="1"/>
      <c r="H838" s="1"/>
      <c r="I838" s="1"/>
      <c r="J838" s="1"/>
      <c r="K838" s="1"/>
      <c r="L838" s="1"/>
      <c r="M838" s="1"/>
      <c r="N838" s="1"/>
      <c r="O838" s="1"/>
      <c r="P838" s="1"/>
      <c r="Q838" s="1"/>
      <c r="R838" s="1"/>
      <c r="S838" s="1"/>
      <c r="T838" s="1"/>
      <c r="U838" s="1"/>
      <c r="V838" s="1"/>
      <c r="W838" s="1"/>
    </row>
    <row r="839" spans="1:23">
      <c r="A839" s="223"/>
      <c r="B839" s="1"/>
      <c r="C839" s="1"/>
      <c r="D839" s="1"/>
      <c r="E839" s="1"/>
      <c r="F839" s="1"/>
      <c r="G839" s="1"/>
      <c r="H839" s="1"/>
      <c r="I839" s="1"/>
      <c r="J839" s="1"/>
      <c r="K839" s="1"/>
      <c r="L839" s="1"/>
      <c r="M839" s="1"/>
      <c r="N839" s="1"/>
      <c r="O839" s="1"/>
      <c r="P839" s="1"/>
      <c r="Q839" s="1"/>
      <c r="R839" s="1"/>
      <c r="S839" s="1"/>
      <c r="T839" s="1"/>
      <c r="U839" s="1"/>
      <c r="V839" s="1"/>
      <c r="W839" s="1"/>
    </row>
    <row r="840" spans="1:23">
      <c r="A840" s="223"/>
      <c r="B840" s="1"/>
      <c r="C840" s="1"/>
      <c r="D840" s="1"/>
      <c r="E840" s="1"/>
      <c r="F840" s="1"/>
      <c r="G840" s="1"/>
      <c r="H840" s="1"/>
      <c r="I840" s="1"/>
      <c r="J840" s="1"/>
      <c r="K840" s="1"/>
      <c r="L840" s="1"/>
      <c r="M840" s="1"/>
      <c r="N840" s="1"/>
      <c r="O840" s="1"/>
      <c r="P840" s="1"/>
      <c r="Q840" s="1"/>
      <c r="R840" s="1"/>
      <c r="S840" s="1"/>
      <c r="T840" s="1"/>
      <c r="U840" s="1"/>
      <c r="V840" s="1"/>
      <c r="W840" s="1"/>
    </row>
    <row r="841" spans="1:23">
      <c r="A841" s="223"/>
      <c r="B841" s="1"/>
      <c r="C841" s="1"/>
      <c r="D841" s="1"/>
      <c r="E841" s="1"/>
      <c r="F841" s="1"/>
      <c r="G841" s="1"/>
      <c r="H841" s="1"/>
      <c r="I841" s="1"/>
      <c r="J841" s="1"/>
      <c r="K841" s="1"/>
      <c r="L841" s="1"/>
      <c r="M841" s="1"/>
      <c r="N841" s="1"/>
      <c r="O841" s="1"/>
      <c r="P841" s="1"/>
      <c r="Q841" s="1"/>
      <c r="R841" s="1"/>
      <c r="S841" s="1"/>
      <c r="T841" s="1"/>
      <c r="U841" s="1"/>
      <c r="V841" s="1"/>
      <c r="W841" s="1"/>
    </row>
    <row r="842" spans="1:23">
      <c r="A842" s="223"/>
      <c r="B842" s="1"/>
      <c r="C842" s="1"/>
      <c r="D842" s="1"/>
      <c r="E842" s="1"/>
      <c r="F842" s="1"/>
      <c r="G842" s="1"/>
      <c r="H842" s="1"/>
      <c r="I842" s="1"/>
      <c r="J842" s="1"/>
      <c r="K842" s="1"/>
      <c r="L842" s="1"/>
      <c r="M842" s="1"/>
      <c r="N842" s="1"/>
      <c r="O842" s="1"/>
      <c r="P842" s="1"/>
      <c r="Q842" s="1"/>
      <c r="R842" s="1"/>
      <c r="S842" s="1"/>
      <c r="T842" s="1"/>
      <c r="U842" s="1"/>
      <c r="V842" s="1"/>
      <c r="W842" s="1"/>
    </row>
    <row r="843" spans="1:23">
      <c r="A843" s="223"/>
      <c r="B843" s="1"/>
      <c r="C843" s="1"/>
      <c r="D843" s="1"/>
      <c r="E843" s="1"/>
      <c r="F843" s="1"/>
      <c r="G843" s="1"/>
      <c r="H843" s="1"/>
      <c r="I843" s="1"/>
      <c r="J843" s="1"/>
      <c r="K843" s="1"/>
      <c r="L843" s="1"/>
      <c r="M843" s="1"/>
      <c r="N843" s="1"/>
      <c r="O843" s="1"/>
      <c r="P843" s="1"/>
      <c r="Q843" s="1"/>
      <c r="R843" s="1"/>
      <c r="S843" s="1"/>
      <c r="T843" s="1"/>
      <c r="U843" s="1"/>
      <c r="V843" s="1"/>
      <c r="W843" s="1"/>
    </row>
    <row r="844" spans="1:23">
      <c r="A844" s="223"/>
      <c r="B844" s="1"/>
      <c r="C844" s="1"/>
      <c r="D844" s="1"/>
      <c r="E844" s="1"/>
      <c r="F844" s="1"/>
      <c r="G844" s="1"/>
      <c r="H844" s="1"/>
      <c r="I844" s="1"/>
      <c r="J844" s="1"/>
      <c r="K844" s="1"/>
      <c r="L844" s="1"/>
      <c r="M844" s="1"/>
      <c r="N844" s="1"/>
      <c r="O844" s="1"/>
      <c r="P844" s="1"/>
      <c r="Q844" s="1"/>
      <c r="R844" s="1"/>
      <c r="S844" s="1"/>
      <c r="T844" s="1"/>
      <c r="U844" s="1"/>
      <c r="V844" s="1"/>
      <c r="W844" s="1"/>
    </row>
    <row r="845" spans="1:23">
      <c r="A845" s="223"/>
      <c r="B845" s="1"/>
      <c r="C845" s="1"/>
      <c r="D845" s="1"/>
      <c r="E845" s="1"/>
      <c r="F845" s="1"/>
      <c r="G845" s="1"/>
      <c r="H845" s="1"/>
      <c r="I845" s="1"/>
      <c r="J845" s="1"/>
      <c r="K845" s="1"/>
      <c r="L845" s="1"/>
      <c r="M845" s="1"/>
      <c r="N845" s="1"/>
      <c r="O845" s="1"/>
      <c r="P845" s="1"/>
      <c r="Q845" s="1"/>
      <c r="R845" s="1"/>
      <c r="S845" s="1"/>
      <c r="T845" s="1"/>
      <c r="U845" s="1"/>
      <c r="V845" s="1"/>
      <c r="W845" s="1"/>
    </row>
    <row r="846" spans="1:23">
      <c r="A846" s="223"/>
      <c r="B846" s="1"/>
      <c r="C846" s="1"/>
      <c r="D846" s="1"/>
      <c r="E846" s="1"/>
      <c r="F846" s="1"/>
      <c r="G846" s="1"/>
      <c r="H846" s="1"/>
      <c r="I846" s="1"/>
      <c r="J846" s="1"/>
      <c r="K846" s="1"/>
      <c r="L846" s="1"/>
      <c r="M846" s="1"/>
      <c r="N846" s="1"/>
      <c r="O846" s="1"/>
      <c r="P846" s="1"/>
      <c r="Q846" s="1"/>
      <c r="R846" s="1"/>
      <c r="S846" s="1"/>
      <c r="T846" s="1"/>
      <c r="U846" s="1"/>
      <c r="V846" s="1"/>
      <c r="W846" s="1"/>
    </row>
    <row r="847" spans="1:23">
      <c r="A847" s="223"/>
      <c r="B847" s="1"/>
      <c r="C847" s="1"/>
      <c r="D847" s="1"/>
      <c r="E847" s="1"/>
      <c r="F847" s="1"/>
      <c r="G847" s="1"/>
      <c r="H847" s="1"/>
      <c r="I847" s="1"/>
      <c r="J847" s="1"/>
      <c r="K847" s="1"/>
      <c r="L847" s="1"/>
      <c r="M847" s="1"/>
      <c r="N847" s="1"/>
      <c r="O847" s="1"/>
      <c r="P847" s="1"/>
      <c r="Q847" s="1"/>
      <c r="R847" s="1"/>
      <c r="S847" s="1"/>
      <c r="T847" s="1"/>
      <c r="U847" s="1"/>
      <c r="V847" s="1"/>
      <c r="W847" s="1"/>
    </row>
    <row r="848" spans="1:23">
      <c r="A848" s="223"/>
      <c r="B848" s="1"/>
      <c r="C848" s="1"/>
      <c r="D848" s="1"/>
      <c r="E848" s="1"/>
      <c r="F848" s="1"/>
      <c r="G848" s="1"/>
      <c r="H848" s="1"/>
      <c r="I848" s="1"/>
      <c r="J848" s="1"/>
      <c r="K848" s="1"/>
      <c r="L848" s="1"/>
      <c r="M848" s="1"/>
      <c r="N848" s="1"/>
      <c r="O848" s="1"/>
      <c r="P848" s="1"/>
      <c r="Q848" s="1"/>
      <c r="R848" s="1"/>
      <c r="S848" s="1"/>
      <c r="T848" s="1"/>
      <c r="U848" s="1"/>
      <c r="V848" s="1"/>
      <c r="W848" s="1"/>
    </row>
    <row r="849" spans="1:23">
      <c r="A849" s="223"/>
      <c r="B849" s="1"/>
      <c r="C849" s="1"/>
      <c r="D849" s="1"/>
      <c r="E849" s="1"/>
      <c r="F849" s="1"/>
      <c r="G849" s="1"/>
      <c r="H849" s="1"/>
      <c r="I849" s="1"/>
      <c r="J849" s="1"/>
      <c r="K849" s="1"/>
      <c r="L849" s="1"/>
      <c r="M849" s="1"/>
      <c r="N849" s="1"/>
      <c r="O849" s="1"/>
      <c r="P849" s="1"/>
      <c r="Q849" s="1"/>
      <c r="R849" s="1"/>
      <c r="S849" s="1"/>
      <c r="T849" s="1"/>
      <c r="U849" s="1"/>
      <c r="V849" s="1"/>
      <c r="W849" s="1"/>
    </row>
    <row r="850" spans="1:23">
      <c r="A850" s="223"/>
      <c r="B850" s="1"/>
      <c r="C850" s="1"/>
      <c r="D850" s="1"/>
      <c r="E850" s="1"/>
      <c r="F850" s="1"/>
      <c r="G850" s="1"/>
      <c r="H850" s="1"/>
      <c r="I850" s="1"/>
      <c r="J850" s="1"/>
      <c r="K850" s="1"/>
      <c r="L850" s="1"/>
      <c r="M850" s="1"/>
      <c r="N850" s="1"/>
      <c r="O850" s="1"/>
      <c r="P850" s="1"/>
      <c r="Q850" s="1"/>
      <c r="R850" s="1"/>
      <c r="S850" s="1"/>
      <c r="T850" s="1"/>
      <c r="U850" s="1"/>
      <c r="V850" s="1"/>
      <c r="W850" s="1"/>
    </row>
    <row r="851" spans="1:23">
      <c r="A851" s="223"/>
      <c r="B851" s="1"/>
      <c r="C851" s="1"/>
      <c r="D851" s="1"/>
      <c r="E851" s="1"/>
      <c r="F851" s="1"/>
      <c r="G851" s="1"/>
      <c r="H851" s="1"/>
      <c r="I851" s="1"/>
      <c r="J851" s="1"/>
      <c r="K851" s="1"/>
      <c r="L851" s="1"/>
      <c r="M851" s="1"/>
      <c r="N851" s="1"/>
      <c r="O851" s="1"/>
      <c r="P851" s="1"/>
      <c r="Q851" s="1"/>
      <c r="R851" s="1"/>
      <c r="S851" s="1"/>
      <c r="T851" s="1"/>
      <c r="U851" s="1"/>
      <c r="V851" s="1"/>
      <c r="W851" s="1"/>
    </row>
    <row r="852" spans="1:23">
      <c r="A852" s="223"/>
      <c r="B852" s="1"/>
      <c r="C852" s="1"/>
      <c r="D852" s="1"/>
      <c r="E852" s="1"/>
      <c r="F852" s="1"/>
      <c r="G852" s="1"/>
      <c r="H852" s="1"/>
      <c r="I852" s="1"/>
      <c r="J852" s="1"/>
      <c r="K852" s="1"/>
      <c r="L852" s="1"/>
      <c r="M852" s="1"/>
      <c r="N852" s="1"/>
      <c r="O852" s="1"/>
      <c r="P852" s="1"/>
      <c r="Q852" s="1"/>
      <c r="R852" s="1"/>
      <c r="S852" s="1"/>
      <c r="T852" s="1"/>
      <c r="U852" s="1"/>
      <c r="V852" s="1"/>
      <c r="W852" s="1"/>
    </row>
    <row r="853" spans="1:23">
      <c r="A853" s="223"/>
      <c r="B853" s="1"/>
      <c r="C853" s="1"/>
      <c r="D853" s="1"/>
      <c r="E853" s="1"/>
      <c r="F853" s="1"/>
      <c r="G853" s="1"/>
      <c r="H853" s="1"/>
      <c r="I853" s="1"/>
      <c r="J853" s="1"/>
      <c r="K853" s="1"/>
      <c r="L853" s="1"/>
      <c r="M853" s="1"/>
      <c r="N853" s="1"/>
      <c r="O853" s="1"/>
      <c r="P853" s="1"/>
      <c r="Q853" s="1"/>
      <c r="R853" s="1"/>
      <c r="S853" s="1"/>
      <c r="T853" s="1"/>
      <c r="U853" s="1"/>
      <c r="V853" s="1"/>
      <c r="W853" s="1"/>
    </row>
    <row r="854" spans="1:23">
      <c r="A854" s="223"/>
      <c r="B854" s="1"/>
      <c r="C854" s="1"/>
      <c r="D854" s="1"/>
      <c r="E854" s="1"/>
      <c r="F854" s="1"/>
      <c r="G854" s="1"/>
      <c r="H854" s="1"/>
      <c r="I854" s="1"/>
      <c r="J854" s="1"/>
      <c r="K854" s="1"/>
      <c r="L854" s="1"/>
      <c r="M854" s="1"/>
      <c r="N854" s="1"/>
      <c r="O854" s="1"/>
      <c r="P854" s="1"/>
      <c r="Q854" s="1"/>
      <c r="R854" s="1"/>
      <c r="S854" s="1"/>
      <c r="T854" s="1"/>
      <c r="U854" s="1"/>
      <c r="V854" s="1"/>
      <c r="W854" s="1"/>
    </row>
    <row r="855" spans="1:23">
      <c r="A855" s="223"/>
      <c r="B855" s="1"/>
      <c r="C855" s="1"/>
      <c r="D855" s="1"/>
      <c r="E855" s="1"/>
      <c r="F855" s="1"/>
      <c r="G855" s="1"/>
      <c r="H855" s="1"/>
      <c r="I855" s="1"/>
      <c r="J855" s="1"/>
      <c r="K855" s="1"/>
      <c r="L855" s="1"/>
      <c r="M855" s="1"/>
      <c r="N855" s="1"/>
      <c r="O855" s="1"/>
      <c r="P855" s="1"/>
      <c r="Q855" s="1"/>
      <c r="R855" s="1"/>
      <c r="S855" s="1"/>
      <c r="T855" s="1"/>
      <c r="U855" s="1"/>
      <c r="V855" s="1"/>
      <c r="W855" s="1"/>
    </row>
    <row r="856" spans="1:23">
      <c r="A856" s="223"/>
      <c r="B856" s="1"/>
      <c r="C856" s="1"/>
      <c r="D856" s="1"/>
      <c r="E856" s="1"/>
      <c r="F856" s="1"/>
      <c r="G856" s="1"/>
      <c r="H856" s="1"/>
      <c r="I856" s="1"/>
      <c r="J856" s="1"/>
      <c r="K856" s="1"/>
      <c r="L856" s="1"/>
      <c r="M856" s="1"/>
      <c r="N856" s="1"/>
      <c r="O856" s="1"/>
      <c r="P856" s="1"/>
      <c r="Q856" s="1"/>
      <c r="R856" s="1"/>
      <c r="S856" s="1"/>
      <c r="T856" s="1"/>
      <c r="U856" s="1"/>
      <c r="V856" s="1"/>
      <c r="W856" s="1"/>
    </row>
    <row r="857" spans="1:23">
      <c r="A857" s="223"/>
      <c r="B857" s="1"/>
      <c r="C857" s="1"/>
      <c r="D857" s="1"/>
      <c r="E857" s="1"/>
      <c r="F857" s="1"/>
      <c r="G857" s="1"/>
      <c r="H857" s="1"/>
      <c r="I857" s="1"/>
      <c r="J857" s="1"/>
      <c r="K857" s="1"/>
      <c r="L857" s="1"/>
      <c r="M857" s="1"/>
      <c r="N857" s="1"/>
      <c r="O857" s="1"/>
      <c r="P857" s="1"/>
      <c r="Q857" s="1"/>
      <c r="R857" s="1"/>
      <c r="S857" s="1"/>
      <c r="T857" s="1"/>
      <c r="U857" s="1"/>
      <c r="V857" s="1"/>
      <c r="W857" s="1"/>
    </row>
    <row r="858" spans="1:23">
      <c r="A858" s="223"/>
      <c r="B858" s="1"/>
      <c r="C858" s="1"/>
      <c r="D858" s="1"/>
      <c r="E858" s="1"/>
      <c r="F858" s="1"/>
      <c r="G858" s="1"/>
      <c r="H858" s="1"/>
      <c r="I858" s="1"/>
      <c r="J858" s="1"/>
      <c r="K858" s="1"/>
      <c r="L858" s="1"/>
      <c r="M858" s="1"/>
      <c r="N858" s="1"/>
      <c r="O858" s="1"/>
      <c r="P858" s="1"/>
      <c r="Q858" s="1"/>
      <c r="R858" s="1"/>
      <c r="S858" s="1"/>
      <c r="T858" s="1"/>
      <c r="U858" s="1"/>
      <c r="V858" s="1"/>
      <c r="W858" s="1"/>
    </row>
    <row r="859" spans="1:23">
      <c r="A859" s="223"/>
      <c r="B859" s="1"/>
      <c r="C859" s="1"/>
      <c r="D859" s="1"/>
      <c r="E859" s="1"/>
      <c r="F859" s="1"/>
      <c r="G859" s="1"/>
      <c r="H859" s="1"/>
      <c r="I859" s="1"/>
      <c r="J859" s="1"/>
      <c r="K859" s="1"/>
      <c r="L859" s="1"/>
      <c r="M859" s="1"/>
      <c r="N859" s="1"/>
      <c r="O859" s="1"/>
      <c r="P859" s="1"/>
      <c r="Q859" s="1"/>
      <c r="R859" s="1"/>
      <c r="S859" s="1"/>
      <c r="T859" s="1"/>
      <c r="U859" s="1"/>
      <c r="V859" s="1"/>
      <c r="W859" s="1"/>
    </row>
    <row r="860" spans="1:23">
      <c r="A860" s="223"/>
      <c r="B860" s="1"/>
      <c r="C860" s="1"/>
      <c r="D860" s="1"/>
      <c r="E860" s="1"/>
      <c r="F860" s="1"/>
      <c r="G860" s="1"/>
      <c r="H860" s="1"/>
      <c r="I860" s="1"/>
      <c r="J860" s="1"/>
      <c r="K860" s="1"/>
      <c r="L860" s="1"/>
      <c r="M860" s="1"/>
      <c r="N860" s="1"/>
      <c r="O860" s="1"/>
      <c r="P860" s="1"/>
      <c r="Q860" s="1"/>
      <c r="R860" s="1"/>
      <c r="S860" s="1"/>
      <c r="T860" s="1"/>
      <c r="U860" s="1"/>
      <c r="V860" s="1"/>
      <c r="W860" s="1"/>
    </row>
    <row r="861" spans="1:23">
      <c r="A861" s="223"/>
      <c r="B861" s="1"/>
      <c r="C861" s="1"/>
      <c r="D861" s="1"/>
      <c r="E861" s="1"/>
      <c r="F861" s="1"/>
      <c r="G861" s="1"/>
      <c r="H861" s="1"/>
      <c r="I861" s="1"/>
      <c r="J861" s="1"/>
      <c r="K861" s="1"/>
      <c r="L861" s="1"/>
      <c r="M861" s="1"/>
      <c r="N861" s="1"/>
      <c r="O861" s="1"/>
      <c r="P861" s="1"/>
      <c r="Q861" s="1"/>
      <c r="R861" s="1"/>
      <c r="S861" s="1"/>
      <c r="T861" s="1"/>
      <c r="U861" s="1"/>
      <c r="V861" s="1"/>
      <c r="W861" s="1"/>
    </row>
    <row r="862" spans="1:23">
      <c r="A862" s="223"/>
      <c r="B862" s="1"/>
      <c r="C862" s="1"/>
      <c r="D862" s="1"/>
      <c r="E862" s="1"/>
      <c r="F862" s="1"/>
      <c r="G862" s="1"/>
      <c r="H862" s="1"/>
      <c r="I862" s="1"/>
      <c r="J862" s="1"/>
      <c r="K862" s="1"/>
      <c r="L862" s="1"/>
      <c r="M862" s="1"/>
      <c r="N862" s="1"/>
      <c r="O862" s="1"/>
      <c r="P862" s="1"/>
      <c r="Q862" s="1"/>
      <c r="R862" s="1"/>
      <c r="S862" s="1"/>
      <c r="T862" s="1"/>
      <c r="U862" s="1"/>
      <c r="V862" s="1"/>
      <c r="W862" s="1"/>
    </row>
    <row r="863" spans="1:23">
      <c r="A863" s="223"/>
      <c r="B863" s="1"/>
      <c r="C863" s="1"/>
      <c r="D863" s="1"/>
      <c r="E863" s="1"/>
      <c r="F863" s="1"/>
      <c r="G863" s="1"/>
      <c r="H863" s="1"/>
      <c r="I863" s="1"/>
      <c r="J863" s="1"/>
      <c r="K863" s="1"/>
      <c r="L863" s="1"/>
      <c r="M863" s="1"/>
      <c r="N863" s="1"/>
      <c r="O863" s="1"/>
      <c r="P863" s="1"/>
      <c r="Q863" s="1"/>
      <c r="R863" s="1"/>
      <c r="S863" s="1"/>
      <c r="T863" s="1"/>
      <c r="U863" s="1"/>
      <c r="V863" s="1"/>
      <c r="W863" s="1"/>
    </row>
    <row r="864" spans="1:23">
      <c r="A864" s="223"/>
      <c r="B864" s="1"/>
      <c r="C864" s="1"/>
      <c r="D864" s="1"/>
      <c r="E864" s="1"/>
      <c r="F864" s="1"/>
      <c r="G864" s="1"/>
      <c r="H864" s="1"/>
      <c r="I864" s="1"/>
      <c r="J864" s="1"/>
      <c r="K864" s="1"/>
      <c r="L864" s="1"/>
      <c r="M864" s="1"/>
      <c r="N864" s="1"/>
      <c r="O864" s="1"/>
      <c r="P864" s="1"/>
      <c r="Q864" s="1"/>
      <c r="R864" s="1"/>
      <c r="S864" s="1"/>
      <c r="T864" s="1"/>
      <c r="U864" s="1"/>
      <c r="V864" s="1"/>
      <c r="W864" s="1"/>
    </row>
    <row r="865" spans="1:23">
      <c r="A865" s="223"/>
      <c r="B865" s="1"/>
      <c r="C865" s="1"/>
      <c r="D865" s="1"/>
      <c r="E865" s="1"/>
      <c r="F865" s="1"/>
      <c r="G865" s="1"/>
      <c r="H865" s="1"/>
      <c r="I865" s="1"/>
      <c r="J865" s="1"/>
      <c r="K865" s="1"/>
      <c r="L865" s="1"/>
      <c r="M865" s="1"/>
      <c r="N865" s="1"/>
      <c r="O865" s="1"/>
      <c r="P865" s="1"/>
      <c r="Q865" s="1"/>
      <c r="R865" s="1"/>
      <c r="S865" s="1"/>
      <c r="T865" s="1"/>
      <c r="U865" s="1"/>
      <c r="V865" s="1"/>
      <c r="W865" s="1"/>
    </row>
    <row r="866" spans="1:23">
      <c r="A866" s="223"/>
      <c r="B866" s="1"/>
      <c r="C866" s="1"/>
      <c r="D866" s="1"/>
      <c r="E866" s="1"/>
      <c r="F866" s="1"/>
      <c r="G866" s="1"/>
      <c r="H866" s="1"/>
      <c r="I866" s="1"/>
      <c r="J866" s="1"/>
      <c r="K866" s="1"/>
      <c r="L866" s="1"/>
      <c r="M866" s="1"/>
      <c r="N866" s="1"/>
      <c r="O866" s="1"/>
      <c r="P866" s="1"/>
      <c r="Q866" s="1"/>
      <c r="R866" s="1"/>
      <c r="S866" s="1"/>
      <c r="T866" s="1"/>
      <c r="U866" s="1"/>
      <c r="V866" s="1"/>
      <c r="W866" s="1"/>
    </row>
    <row r="867" spans="1:23">
      <c r="A867" s="223"/>
      <c r="B867" s="1"/>
      <c r="C867" s="1"/>
      <c r="D867" s="1"/>
      <c r="E867" s="1"/>
      <c r="F867" s="1"/>
      <c r="G867" s="1"/>
      <c r="H867" s="1"/>
      <c r="I867" s="1"/>
      <c r="J867" s="1"/>
      <c r="K867" s="1"/>
      <c r="L867" s="1"/>
      <c r="M867" s="1"/>
      <c r="N867" s="1"/>
      <c r="O867" s="1"/>
      <c r="P867" s="1"/>
      <c r="Q867" s="1"/>
      <c r="R867" s="1"/>
      <c r="S867" s="1"/>
      <c r="T867" s="1"/>
      <c r="U867" s="1"/>
      <c r="V867" s="1"/>
      <c r="W867" s="1"/>
    </row>
    <row r="868" spans="1:23">
      <c r="A868" s="223"/>
      <c r="B868" s="1"/>
      <c r="C868" s="1"/>
      <c r="D868" s="1"/>
      <c r="E868" s="1"/>
      <c r="F868" s="1"/>
      <c r="G868" s="1"/>
      <c r="H868" s="1"/>
      <c r="I868" s="1"/>
      <c r="J868" s="1"/>
      <c r="K868" s="1"/>
      <c r="L868" s="1"/>
      <c r="M868" s="1"/>
      <c r="N868" s="1"/>
      <c r="O868" s="1"/>
      <c r="P868" s="1"/>
      <c r="Q868" s="1"/>
      <c r="R868" s="1"/>
      <c r="S868" s="1"/>
      <c r="T868" s="1"/>
      <c r="U868" s="1"/>
      <c r="V868" s="1"/>
      <c r="W868" s="1"/>
    </row>
    <row r="869" spans="1:23">
      <c r="A869" s="223"/>
      <c r="B869" s="1"/>
      <c r="C869" s="1"/>
      <c r="D869" s="1"/>
      <c r="E869" s="1"/>
      <c r="F869" s="1"/>
      <c r="G869" s="1"/>
      <c r="H869" s="1"/>
      <c r="I869" s="1"/>
      <c r="J869" s="1"/>
      <c r="K869" s="1"/>
      <c r="L869" s="1"/>
      <c r="M869" s="1"/>
      <c r="N869" s="1"/>
      <c r="O869" s="1"/>
      <c r="P869" s="1"/>
      <c r="Q869" s="1"/>
      <c r="R869" s="1"/>
      <c r="S869" s="1"/>
      <c r="T869" s="1"/>
      <c r="U869" s="1"/>
      <c r="V869" s="1"/>
      <c r="W869" s="1"/>
    </row>
    <row r="870" spans="1:23">
      <c r="A870" s="223"/>
      <c r="B870" s="1"/>
      <c r="C870" s="1"/>
      <c r="D870" s="1"/>
      <c r="E870" s="1"/>
      <c r="F870" s="1"/>
      <c r="G870" s="1"/>
      <c r="H870" s="1"/>
      <c r="I870" s="1"/>
      <c r="J870" s="1"/>
      <c r="K870" s="1"/>
      <c r="L870" s="1"/>
      <c r="M870" s="1"/>
      <c r="N870" s="1"/>
      <c r="O870" s="1"/>
      <c r="P870" s="1"/>
      <c r="Q870" s="1"/>
      <c r="R870" s="1"/>
      <c r="S870" s="1"/>
      <c r="T870" s="1"/>
      <c r="U870" s="1"/>
      <c r="V870" s="1"/>
      <c r="W870" s="1"/>
    </row>
    <row r="871" spans="1:23">
      <c r="A871" s="223"/>
      <c r="B871" s="1"/>
      <c r="C871" s="1"/>
      <c r="D871" s="1"/>
      <c r="E871" s="1"/>
      <c r="F871" s="1"/>
      <c r="G871" s="1"/>
      <c r="H871" s="1"/>
      <c r="I871" s="1"/>
      <c r="J871" s="1"/>
      <c r="K871" s="1"/>
      <c r="L871" s="1"/>
      <c r="M871" s="1"/>
      <c r="N871" s="1"/>
      <c r="O871" s="1"/>
      <c r="P871" s="1"/>
      <c r="Q871" s="1"/>
      <c r="R871" s="1"/>
      <c r="S871" s="1"/>
      <c r="T871" s="1"/>
      <c r="U871" s="1"/>
      <c r="V871" s="1"/>
      <c r="W871" s="1"/>
    </row>
    <row r="872" spans="1:23">
      <c r="A872" s="223"/>
      <c r="B872" s="1"/>
      <c r="C872" s="1"/>
      <c r="D872" s="1"/>
      <c r="E872" s="1"/>
      <c r="F872" s="1"/>
      <c r="G872" s="1"/>
      <c r="H872" s="1"/>
      <c r="I872" s="1"/>
      <c r="J872" s="1"/>
      <c r="K872" s="1"/>
      <c r="L872" s="1"/>
      <c r="M872" s="1"/>
      <c r="N872" s="1"/>
      <c r="O872" s="1"/>
      <c r="P872" s="1"/>
      <c r="Q872" s="1"/>
      <c r="R872" s="1"/>
      <c r="S872" s="1"/>
      <c r="T872" s="1"/>
      <c r="U872" s="1"/>
      <c r="V872" s="1"/>
      <c r="W872" s="1"/>
    </row>
    <row r="873" spans="1:23">
      <c r="A873" s="223"/>
      <c r="B873" s="1"/>
      <c r="C873" s="1"/>
      <c r="D873" s="1"/>
      <c r="E873" s="1"/>
      <c r="F873" s="1"/>
      <c r="G873" s="1"/>
      <c r="H873" s="1"/>
      <c r="I873" s="1"/>
      <c r="J873" s="1"/>
      <c r="K873" s="1"/>
      <c r="L873" s="1"/>
      <c r="M873" s="1"/>
      <c r="N873" s="1"/>
      <c r="O873" s="1"/>
      <c r="P873" s="1"/>
      <c r="Q873" s="1"/>
      <c r="R873" s="1"/>
      <c r="S873" s="1"/>
      <c r="T873" s="1"/>
      <c r="U873" s="1"/>
      <c r="V873" s="1"/>
      <c r="W873" s="1"/>
    </row>
    <row r="874" spans="1:23">
      <c r="A874" s="223"/>
      <c r="B874" s="1"/>
      <c r="C874" s="1"/>
      <c r="D874" s="1"/>
      <c r="E874" s="1"/>
      <c r="F874" s="1"/>
      <c r="G874" s="1"/>
      <c r="H874" s="1"/>
      <c r="I874" s="1"/>
      <c r="J874" s="1"/>
      <c r="K874" s="1"/>
      <c r="L874" s="1"/>
      <c r="M874" s="1"/>
      <c r="N874" s="1"/>
      <c r="O874" s="1"/>
      <c r="P874" s="1"/>
      <c r="Q874" s="1"/>
      <c r="R874" s="1"/>
      <c r="S874" s="1"/>
      <c r="T874" s="1"/>
      <c r="U874" s="1"/>
      <c r="V874" s="1"/>
      <c r="W874" s="1"/>
    </row>
    <row r="875" spans="1:23">
      <c r="A875" s="223"/>
      <c r="B875" s="1"/>
      <c r="C875" s="1"/>
      <c r="D875" s="1"/>
      <c r="E875" s="1"/>
      <c r="F875" s="1"/>
      <c r="G875" s="1"/>
      <c r="H875" s="1"/>
      <c r="I875" s="1"/>
      <c r="J875" s="1"/>
      <c r="K875" s="1"/>
      <c r="L875" s="1"/>
      <c r="M875" s="1"/>
      <c r="N875" s="1"/>
      <c r="O875" s="1"/>
      <c r="P875" s="1"/>
      <c r="Q875" s="1"/>
      <c r="R875" s="1"/>
      <c r="S875" s="1"/>
      <c r="T875" s="1"/>
      <c r="U875" s="1"/>
      <c r="V875" s="1"/>
      <c r="W875" s="1"/>
    </row>
    <row r="876" spans="1:23">
      <c r="A876" s="223"/>
      <c r="B876" s="1"/>
      <c r="C876" s="1"/>
      <c r="D876" s="1"/>
      <c r="E876" s="1"/>
      <c r="F876" s="1"/>
      <c r="G876" s="1"/>
      <c r="H876" s="1"/>
      <c r="I876" s="1"/>
      <c r="J876" s="1"/>
      <c r="K876" s="1"/>
      <c r="L876" s="1"/>
      <c r="M876" s="1"/>
      <c r="N876" s="1"/>
      <c r="O876" s="1"/>
      <c r="P876" s="1"/>
      <c r="Q876" s="1"/>
      <c r="R876" s="1"/>
      <c r="S876" s="1"/>
      <c r="T876" s="1"/>
      <c r="U876" s="1"/>
      <c r="V876" s="1"/>
      <c r="W876" s="1"/>
    </row>
    <row r="877" spans="1:23">
      <c r="A877" s="223"/>
      <c r="B877" s="1"/>
      <c r="C877" s="1"/>
      <c r="D877" s="1"/>
      <c r="E877" s="1"/>
      <c r="F877" s="1"/>
      <c r="G877" s="1"/>
      <c r="H877" s="1"/>
      <c r="I877" s="1"/>
      <c r="J877" s="1"/>
      <c r="K877" s="1"/>
      <c r="L877" s="1"/>
      <c r="M877" s="1"/>
      <c r="N877" s="1"/>
      <c r="O877" s="1"/>
      <c r="P877" s="1"/>
      <c r="Q877" s="1"/>
      <c r="R877" s="1"/>
      <c r="S877" s="1"/>
      <c r="T877" s="1"/>
      <c r="U877" s="1"/>
      <c r="V877" s="1"/>
      <c r="W877" s="1"/>
    </row>
    <row r="878" spans="1:23">
      <c r="A878" s="223"/>
      <c r="B878" s="1"/>
      <c r="C878" s="1"/>
      <c r="D878" s="1"/>
      <c r="E878" s="1"/>
      <c r="F878" s="1"/>
      <c r="G878" s="1"/>
      <c r="H878" s="1"/>
      <c r="I878" s="1"/>
      <c r="J878" s="1"/>
      <c r="K878" s="1"/>
      <c r="L878" s="1"/>
      <c r="M878" s="1"/>
      <c r="N878" s="1"/>
      <c r="O878" s="1"/>
      <c r="P878" s="1"/>
      <c r="Q878" s="1"/>
      <c r="R878" s="1"/>
      <c r="S878" s="1"/>
      <c r="T878" s="1"/>
      <c r="U878" s="1"/>
      <c r="V878" s="1"/>
      <c r="W878" s="1"/>
    </row>
    <row r="879" spans="1:23">
      <c r="A879" s="223"/>
      <c r="B879" s="1"/>
      <c r="C879" s="1"/>
      <c r="D879" s="1"/>
      <c r="E879" s="1"/>
      <c r="F879" s="1"/>
      <c r="G879" s="1"/>
      <c r="H879" s="1"/>
      <c r="I879" s="1"/>
      <c r="J879" s="1"/>
      <c r="K879" s="1"/>
      <c r="L879" s="1"/>
      <c r="M879" s="1"/>
      <c r="N879" s="1"/>
      <c r="O879" s="1"/>
      <c r="P879" s="1"/>
      <c r="Q879" s="1"/>
      <c r="R879" s="1"/>
      <c r="S879" s="1"/>
      <c r="T879" s="1"/>
      <c r="U879" s="1"/>
      <c r="V879" s="1"/>
      <c r="W879" s="1"/>
    </row>
    <row r="880" spans="1:23">
      <c r="A880" s="223"/>
      <c r="B880" s="1"/>
      <c r="C880" s="1"/>
      <c r="D880" s="1"/>
      <c r="E880" s="1"/>
      <c r="F880" s="1"/>
      <c r="G880" s="1"/>
      <c r="H880" s="1"/>
      <c r="I880" s="1"/>
      <c r="J880" s="1"/>
      <c r="K880" s="1"/>
      <c r="L880" s="1"/>
      <c r="M880" s="1"/>
      <c r="N880" s="1"/>
      <c r="O880" s="1"/>
      <c r="P880" s="1"/>
      <c r="Q880" s="1"/>
      <c r="R880" s="1"/>
      <c r="S880" s="1"/>
      <c r="T880" s="1"/>
      <c r="U880" s="1"/>
      <c r="V880" s="1"/>
      <c r="W880" s="1"/>
    </row>
    <row r="881" spans="1:23">
      <c r="A881" s="223"/>
      <c r="B881" s="1"/>
      <c r="C881" s="1"/>
      <c r="D881" s="1"/>
      <c r="E881" s="1"/>
      <c r="F881" s="1"/>
      <c r="G881" s="1"/>
      <c r="H881" s="1"/>
      <c r="I881" s="1"/>
      <c r="J881" s="1"/>
      <c r="K881" s="1"/>
      <c r="L881" s="1"/>
      <c r="M881" s="1"/>
      <c r="N881" s="1"/>
      <c r="O881" s="1"/>
      <c r="P881" s="1"/>
      <c r="Q881" s="1"/>
      <c r="R881" s="1"/>
      <c r="S881" s="1"/>
      <c r="T881" s="1"/>
      <c r="U881" s="1"/>
      <c r="V881" s="1"/>
      <c r="W881" s="1"/>
    </row>
    <row r="882" spans="1:23">
      <c r="A882" s="223"/>
      <c r="B882" s="1"/>
      <c r="C882" s="1"/>
      <c r="D882" s="1"/>
      <c r="E882" s="1"/>
      <c r="F882" s="1"/>
      <c r="G882" s="1"/>
      <c r="H882" s="1"/>
      <c r="I882" s="1"/>
      <c r="J882" s="1"/>
      <c r="K882" s="1"/>
      <c r="L882" s="1"/>
      <c r="M882" s="1"/>
      <c r="N882" s="1"/>
      <c r="O882" s="1"/>
      <c r="P882" s="1"/>
      <c r="Q882" s="1"/>
      <c r="R882" s="1"/>
      <c r="S882" s="1"/>
      <c r="T882" s="1"/>
      <c r="U882" s="1"/>
      <c r="V882" s="1"/>
      <c r="W882" s="1"/>
    </row>
    <row r="883" spans="1:23">
      <c r="A883" s="223"/>
      <c r="B883" s="1"/>
      <c r="C883" s="1"/>
      <c r="D883" s="1"/>
      <c r="E883" s="1"/>
      <c r="F883" s="1"/>
      <c r="G883" s="1"/>
      <c r="H883" s="1"/>
      <c r="I883" s="1"/>
      <c r="J883" s="1"/>
      <c r="K883" s="1"/>
      <c r="L883" s="1"/>
      <c r="M883" s="1"/>
      <c r="N883" s="1"/>
      <c r="O883" s="1"/>
      <c r="P883" s="1"/>
      <c r="Q883" s="1"/>
      <c r="R883" s="1"/>
      <c r="S883" s="1"/>
      <c r="T883" s="1"/>
      <c r="U883" s="1"/>
      <c r="V883" s="1"/>
      <c r="W883" s="1"/>
    </row>
    <row r="884" spans="1:23">
      <c r="A884" s="223"/>
      <c r="B884" s="1"/>
      <c r="C884" s="1"/>
      <c r="D884" s="1"/>
      <c r="E884" s="1"/>
      <c r="F884" s="1"/>
      <c r="G884" s="1"/>
      <c r="H884" s="1"/>
      <c r="I884" s="1"/>
      <c r="J884" s="1"/>
      <c r="K884" s="1"/>
      <c r="L884" s="1"/>
      <c r="M884" s="1"/>
      <c r="N884" s="1"/>
      <c r="O884" s="1"/>
      <c r="P884" s="1"/>
      <c r="Q884" s="1"/>
      <c r="R884" s="1"/>
      <c r="S884" s="1"/>
      <c r="T884" s="1"/>
      <c r="U884" s="1"/>
      <c r="V884" s="1"/>
      <c r="W884" s="1"/>
    </row>
    <row r="885" spans="1:23">
      <c r="A885" s="223"/>
      <c r="B885" s="1"/>
      <c r="C885" s="1"/>
      <c r="D885" s="1"/>
      <c r="E885" s="1"/>
      <c r="F885" s="1"/>
      <c r="G885" s="1"/>
      <c r="H885" s="1"/>
      <c r="I885" s="1"/>
      <c r="J885" s="1"/>
      <c r="K885" s="1"/>
      <c r="L885" s="1"/>
      <c r="M885" s="1"/>
      <c r="N885" s="1"/>
      <c r="O885" s="1"/>
      <c r="P885" s="1"/>
      <c r="Q885" s="1"/>
      <c r="R885" s="1"/>
      <c r="S885" s="1"/>
      <c r="T885" s="1"/>
      <c r="U885" s="1"/>
      <c r="V885" s="1"/>
      <c r="W885" s="1"/>
    </row>
    <row r="886" spans="1:23">
      <c r="A886" s="223"/>
      <c r="B886" s="1"/>
      <c r="C886" s="1"/>
      <c r="D886" s="1"/>
      <c r="E886" s="1"/>
      <c r="F886" s="1"/>
      <c r="G886" s="1"/>
      <c r="H886" s="1"/>
      <c r="I886" s="1"/>
      <c r="J886" s="1"/>
      <c r="K886" s="1"/>
      <c r="L886" s="1"/>
      <c r="M886" s="1"/>
      <c r="N886" s="1"/>
      <c r="O886" s="1"/>
      <c r="P886" s="1"/>
      <c r="Q886" s="1"/>
      <c r="R886" s="1"/>
      <c r="S886" s="1"/>
      <c r="T886" s="1"/>
      <c r="U886" s="1"/>
      <c r="V886" s="1"/>
      <c r="W886" s="1"/>
    </row>
    <row r="887" spans="1:23">
      <c r="A887" s="223"/>
      <c r="B887" s="1"/>
      <c r="C887" s="1"/>
      <c r="D887" s="1"/>
      <c r="E887" s="1"/>
      <c r="F887" s="1"/>
      <c r="G887" s="1"/>
      <c r="H887" s="1"/>
      <c r="I887" s="1"/>
      <c r="J887" s="1"/>
      <c r="K887" s="1"/>
      <c r="L887" s="1"/>
      <c r="M887" s="1"/>
      <c r="N887" s="1"/>
      <c r="O887" s="1"/>
      <c r="P887" s="1"/>
      <c r="Q887" s="1"/>
      <c r="R887" s="1"/>
      <c r="S887" s="1"/>
      <c r="T887" s="1"/>
      <c r="U887" s="1"/>
      <c r="V887" s="1"/>
      <c r="W887" s="1"/>
    </row>
    <row r="888" spans="1:23">
      <c r="A888" s="223"/>
      <c r="B888" s="1"/>
      <c r="C888" s="1"/>
      <c r="D888" s="1"/>
      <c r="E888" s="1"/>
      <c r="F888" s="1"/>
      <c r="G888" s="1"/>
      <c r="H888" s="1"/>
      <c r="I888" s="1"/>
      <c r="J888" s="1"/>
      <c r="K888" s="1"/>
      <c r="L888" s="1"/>
      <c r="M888" s="1"/>
      <c r="N888" s="1"/>
      <c r="O888" s="1"/>
      <c r="P888" s="1"/>
      <c r="Q888" s="1"/>
      <c r="R888" s="1"/>
      <c r="S888" s="1"/>
      <c r="T888" s="1"/>
      <c r="U888" s="1"/>
      <c r="V888" s="1"/>
      <c r="W888" s="1"/>
    </row>
    <row r="889" spans="1:23">
      <c r="A889" s="223"/>
      <c r="B889" s="1"/>
      <c r="C889" s="1"/>
      <c r="D889" s="1"/>
      <c r="E889" s="1"/>
      <c r="F889" s="1"/>
      <c r="G889" s="1"/>
      <c r="H889" s="1"/>
      <c r="I889" s="1"/>
      <c r="J889" s="1"/>
      <c r="K889" s="1"/>
      <c r="L889" s="1"/>
      <c r="M889" s="1"/>
      <c r="N889" s="1"/>
      <c r="O889" s="1"/>
      <c r="P889" s="1"/>
      <c r="Q889" s="1"/>
      <c r="R889" s="1"/>
      <c r="S889" s="1"/>
      <c r="T889" s="1"/>
      <c r="U889" s="1"/>
      <c r="V889" s="1"/>
      <c r="W889" s="1"/>
    </row>
    <row r="890" spans="1:23">
      <c r="A890" s="223"/>
      <c r="B890" s="1"/>
      <c r="C890" s="1"/>
      <c r="D890" s="1"/>
      <c r="E890" s="1"/>
      <c r="F890" s="1"/>
      <c r="G890" s="1"/>
      <c r="H890" s="1"/>
      <c r="I890" s="1"/>
      <c r="J890" s="1"/>
      <c r="K890" s="1"/>
      <c r="L890" s="1"/>
      <c r="M890" s="1"/>
      <c r="N890" s="1"/>
      <c r="O890" s="1"/>
      <c r="P890" s="1"/>
      <c r="Q890" s="1"/>
      <c r="R890" s="1"/>
      <c r="S890" s="1"/>
      <c r="T890" s="1"/>
      <c r="U890" s="1"/>
      <c r="V890" s="1"/>
      <c r="W890" s="1"/>
    </row>
    <row r="891" spans="1:23">
      <c r="A891" s="223"/>
      <c r="B891" s="1"/>
      <c r="C891" s="1"/>
      <c r="D891" s="1"/>
      <c r="E891" s="1"/>
      <c r="F891" s="1"/>
      <c r="G891" s="1"/>
      <c r="H891" s="1"/>
      <c r="I891" s="1"/>
      <c r="J891" s="1"/>
      <c r="K891" s="1"/>
      <c r="L891" s="1"/>
      <c r="M891" s="1"/>
      <c r="N891" s="1"/>
      <c r="O891" s="1"/>
      <c r="P891" s="1"/>
      <c r="Q891" s="1"/>
      <c r="R891" s="1"/>
      <c r="S891" s="1"/>
      <c r="T891" s="1"/>
      <c r="U891" s="1"/>
      <c r="V891" s="1"/>
      <c r="W891" s="1"/>
    </row>
    <row r="892" spans="1:23">
      <c r="A892" s="223"/>
      <c r="B892" s="1"/>
      <c r="C892" s="1"/>
      <c r="D892" s="1"/>
      <c r="E892" s="1"/>
      <c r="F892" s="1"/>
      <c r="G892" s="1"/>
      <c r="H892" s="1"/>
      <c r="I892" s="1"/>
      <c r="J892" s="1"/>
      <c r="K892" s="1"/>
      <c r="L892" s="1"/>
      <c r="M892" s="1"/>
      <c r="N892" s="1"/>
      <c r="O892" s="1"/>
      <c r="P892" s="1"/>
      <c r="Q892" s="1"/>
      <c r="R892" s="1"/>
      <c r="S892" s="1"/>
      <c r="T892" s="1"/>
      <c r="U892" s="1"/>
      <c r="V892" s="1"/>
      <c r="W892" s="1"/>
    </row>
    <row r="893" spans="1:23">
      <c r="A893" s="223"/>
      <c r="B893" s="1"/>
      <c r="C893" s="1"/>
      <c r="D893" s="1"/>
      <c r="E893" s="1"/>
      <c r="F893" s="1"/>
      <c r="G893" s="1"/>
      <c r="H893" s="1"/>
      <c r="I893" s="1"/>
      <c r="J893" s="1"/>
      <c r="K893" s="1"/>
      <c r="L893" s="1"/>
      <c r="M893" s="1"/>
      <c r="N893" s="1"/>
      <c r="O893" s="1"/>
      <c r="P893" s="1"/>
      <c r="Q893" s="1"/>
      <c r="R893" s="1"/>
      <c r="S893" s="1"/>
      <c r="T893" s="1"/>
      <c r="U893" s="1"/>
      <c r="V893" s="1"/>
      <c r="W893" s="1"/>
    </row>
    <row r="894" spans="1:23">
      <c r="A894" s="223"/>
      <c r="B894" s="1"/>
      <c r="C894" s="1"/>
      <c r="D894" s="1"/>
      <c r="E894" s="1"/>
      <c r="F894" s="1"/>
      <c r="G894" s="1"/>
      <c r="H894" s="1"/>
      <c r="I894" s="1"/>
      <c r="J894" s="1"/>
      <c r="K894" s="1"/>
      <c r="L894" s="1"/>
      <c r="M894" s="1"/>
      <c r="N894" s="1"/>
      <c r="O894" s="1"/>
      <c r="P894" s="1"/>
      <c r="Q894" s="1"/>
      <c r="R894" s="1"/>
      <c r="S894" s="1"/>
      <c r="T894" s="1"/>
      <c r="U894" s="1"/>
      <c r="V894" s="1"/>
      <c r="W894" s="1"/>
    </row>
    <row r="895" spans="1:23">
      <c r="A895" s="223"/>
      <c r="B895" s="1"/>
      <c r="C895" s="1"/>
      <c r="D895" s="1"/>
      <c r="E895" s="1"/>
      <c r="F895" s="1"/>
      <c r="G895" s="1"/>
      <c r="H895" s="1"/>
      <c r="I895" s="1"/>
      <c r="J895" s="1"/>
      <c r="K895" s="1"/>
      <c r="L895" s="1"/>
      <c r="M895" s="1"/>
      <c r="N895" s="1"/>
      <c r="O895" s="1"/>
      <c r="P895" s="1"/>
      <c r="Q895" s="1"/>
      <c r="R895" s="1"/>
      <c r="S895" s="1"/>
      <c r="T895" s="1"/>
      <c r="U895" s="1"/>
      <c r="V895" s="1"/>
      <c r="W895" s="1"/>
    </row>
    <row r="896" spans="1:23">
      <c r="A896" s="223"/>
      <c r="B896" s="1"/>
      <c r="C896" s="1"/>
      <c r="D896" s="1"/>
      <c r="E896" s="1"/>
      <c r="F896" s="1"/>
      <c r="G896" s="1"/>
      <c r="H896" s="1"/>
      <c r="I896" s="1"/>
      <c r="J896" s="1"/>
      <c r="K896" s="1"/>
      <c r="L896" s="1"/>
      <c r="M896" s="1"/>
      <c r="N896" s="1"/>
      <c r="O896" s="1"/>
      <c r="P896" s="1"/>
      <c r="Q896" s="1"/>
      <c r="R896" s="1"/>
      <c r="S896" s="1"/>
      <c r="T896" s="1"/>
      <c r="U896" s="1"/>
      <c r="V896" s="1"/>
      <c r="W896" s="1"/>
    </row>
    <row r="897" spans="1:23">
      <c r="A897" s="223"/>
      <c r="B897" s="1"/>
      <c r="C897" s="1"/>
      <c r="D897" s="1"/>
      <c r="E897" s="1"/>
      <c r="F897" s="1"/>
      <c r="G897" s="1"/>
      <c r="H897" s="1"/>
      <c r="I897" s="1"/>
      <c r="J897" s="1"/>
      <c r="K897" s="1"/>
      <c r="L897" s="1"/>
      <c r="M897" s="1"/>
      <c r="N897" s="1"/>
      <c r="O897" s="1"/>
      <c r="P897" s="1"/>
      <c r="Q897" s="1"/>
      <c r="R897" s="1"/>
      <c r="S897" s="1"/>
      <c r="T897" s="1"/>
      <c r="U897" s="1"/>
      <c r="V897" s="1"/>
      <c r="W897" s="1"/>
    </row>
    <row r="898" spans="1:23">
      <c r="A898" s="223"/>
      <c r="B898" s="1"/>
      <c r="C898" s="1"/>
      <c r="D898" s="1"/>
      <c r="E898" s="1"/>
      <c r="F898" s="1"/>
      <c r="G898" s="1"/>
      <c r="H898" s="1"/>
      <c r="I898" s="1"/>
      <c r="J898" s="1"/>
      <c r="K898" s="1"/>
      <c r="L898" s="1"/>
      <c r="M898" s="1"/>
      <c r="N898" s="1"/>
      <c r="O898" s="1"/>
      <c r="P898" s="1"/>
      <c r="Q898" s="1"/>
      <c r="R898" s="1"/>
      <c r="S898" s="1"/>
      <c r="T898" s="1"/>
      <c r="U898" s="1"/>
      <c r="V898" s="1"/>
      <c r="W898" s="1"/>
    </row>
    <row r="899" spans="1:23">
      <c r="A899" s="223"/>
      <c r="B899" s="1"/>
      <c r="C899" s="1"/>
      <c r="D899" s="1"/>
      <c r="E899" s="1"/>
      <c r="F899" s="1"/>
      <c r="G899" s="1"/>
      <c r="H899" s="1"/>
      <c r="I899" s="1"/>
      <c r="J899" s="1"/>
      <c r="K899" s="1"/>
      <c r="L899" s="1"/>
      <c r="M899" s="1"/>
      <c r="N899" s="1"/>
      <c r="O899" s="1"/>
      <c r="P899" s="1"/>
      <c r="Q899" s="1"/>
      <c r="R899" s="1"/>
      <c r="S899" s="1"/>
      <c r="T899" s="1"/>
      <c r="U899" s="1"/>
      <c r="V899" s="1"/>
      <c r="W899" s="1"/>
    </row>
    <row r="900" spans="1:23">
      <c r="A900" s="223"/>
      <c r="B900" s="1"/>
      <c r="C900" s="1"/>
      <c r="D900" s="1"/>
      <c r="E900" s="1"/>
      <c r="F900" s="1"/>
      <c r="G900" s="1"/>
      <c r="H900" s="1"/>
      <c r="I900" s="1"/>
      <c r="J900" s="1"/>
      <c r="K900" s="1"/>
      <c r="L900" s="1"/>
      <c r="M900" s="1"/>
      <c r="N900" s="1"/>
      <c r="O900" s="1"/>
      <c r="P900" s="1"/>
      <c r="Q900" s="1"/>
      <c r="R900" s="1"/>
      <c r="S900" s="1"/>
      <c r="T900" s="1"/>
      <c r="U900" s="1"/>
      <c r="V900" s="1"/>
      <c r="W900" s="1"/>
    </row>
    <row r="901" spans="1:23">
      <c r="A901" s="223"/>
      <c r="B901" s="1"/>
      <c r="C901" s="1"/>
      <c r="D901" s="1"/>
      <c r="E901" s="1"/>
      <c r="F901" s="1"/>
      <c r="G901" s="1"/>
      <c r="H901" s="1"/>
      <c r="I901" s="1"/>
      <c r="J901" s="1"/>
      <c r="K901" s="1"/>
      <c r="L901" s="1"/>
      <c r="M901" s="1"/>
      <c r="N901" s="1"/>
      <c r="O901" s="1"/>
      <c r="P901" s="1"/>
      <c r="Q901" s="1"/>
      <c r="R901" s="1"/>
      <c r="S901" s="1"/>
      <c r="T901" s="1"/>
      <c r="U901" s="1"/>
      <c r="V901" s="1"/>
      <c r="W901" s="1"/>
    </row>
    <row r="902" spans="1:23">
      <c r="A902" s="223"/>
      <c r="B902" s="1"/>
      <c r="C902" s="1"/>
      <c r="D902" s="1"/>
      <c r="E902" s="1"/>
      <c r="F902" s="1"/>
      <c r="G902" s="1"/>
      <c r="H902" s="1"/>
      <c r="I902" s="1"/>
      <c r="J902" s="1"/>
      <c r="K902" s="1"/>
      <c r="L902" s="1"/>
      <c r="M902" s="1"/>
      <c r="N902" s="1"/>
      <c r="O902" s="1"/>
      <c r="P902" s="1"/>
      <c r="Q902" s="1"/>
      <c r="R902" s="1"/>
      <c r="S902" s="1"/>
      <c r="T902" s="1"/>
      <c r="U902" s="1"/>
      <c r="V902" s="1"/>
      <c r="W902" s="1"/>
    </row>
    <row r="903" spans="1:23">
      <c r="A903" s="223"/>
      <c r="B903" s="1"/>
      <c r="C903" s="1"/>
      <c r="D903" s="1"/>
      <c r="E903" s="1"/>
      <c r="F903" s="1"/>
      <c r="G903" s="1"/>
      <c r="H903" s="1"/>
      <c r="I903" s="1"/>
      <c r="J903" s="1"/>
      <c r="K903" s="1"/>
      <c r="L903" s="1"/>
      <c r="M903" s="1"/>
      <c r="N903" s="1"/>
      <c r="O903" s="1"/>
      <c r="P903" s="1"/>
      <c r="Q903" s="1"/>
      <c r="R903" s="1"/>
      <c r="S903" s="1"/>
      <c r="T903" s="1"/>
      <c r="U903" s="1"/>
      <c r="V903" s="1"/>
      <c r="W903" s="1"/>
    </row>
    <row r="904" spans="1:23">
      <c r="A904" s="223"/>
      <c r="B904" s="1"/>
      <c r="C904" s="1"/>
      <c r="D904" s="1"/>
      <c r="E904" s="1"/>
      <c r="F904" s="1"/>
      <c r="G904" s="1"/>
      <c r="H904" s="1"/>
      <c r="I904" s="1"/>
      <c r="J904" s="1"/>
      <c r="K904" s="1"/>
      <c r="L904" s="1"/>
      <c r="M904" s="1"/>
      <c r="N904" s="1"/>
      <c r="O904" s="1"/>
      <c r="P904" s="1"/>
      <c r="Q904" s="1"/>
      <c r="R904" s="1"/>
      <c r="S904" s="1"/>
      <c r="T904" s="1"/>
      <c r="U904" s="1"/>
      <c r="V904" s="1"/>
      <c r="W904" s="1"/>
    </row>
    <row r="905" spans="1:23">
      <c r="A905" s="223"/>
      <c r="B905" s="1"/>
      <c r="C905" s="1"/>
      <c r="D905" s="1"/>
      <c r="E905" s="1"/>
      <c r="F905" s="1"/>
      <c r="G905" s="1"/>
      <c r="H905" s="1"/>
      <c r="I905" s="1"/>
      <c r="J905" s="1"/>
      <c r="K905" s="1"/>
      <c r="L905" s="1"/>
      <c r="M905" s="1"/>
      <c r="N905" s="1"/>
      <c r="O905" s="1"/>
      <c r="P905" s="1"/>
      <c r="Q905" s="1"/>
      <c r="R905" s="1"/>
      <c r="S905" s="1"/>
      <c r="T905" s="1"/>
      <c r="U905" s="1"/>
      <c r="V905" s="1"/>
      <c r="W905" s="1"/>
    </row>
    <row r="906" spans="1:23">
      <c r="A906" s="223"/>
      <c r="B906" s="1"/>
      <c r="C906" s="1"/>
      <c r="D906" s="1"/>
      <c r="E906" s="1"/>
      <c r="F906" s="1"/>
      <c r="G906" s="1"/>
      <c r="H906" s="1"/>
      <c r="I906" s="1"/>
      <c r="J906" s="1"/>
      <c r="K906" s="1"/>
      <c r="L906" s="1"/>
      <c r="M906" s="1"/>
      <c r="N906" s="1"/>
      <c r="O906" s="1"/>
      <c r="P906" s="1"/>
      <c r="Q906" s="1"/>
      <c r="R906" s="1"/>
      <c r="S906" s="1"/>
      <c r="T906" s="1"/>
      <c r="U906" s="1"/>
      <c r="V906" s="1"/>
      <c r="W906" s="1"/>
    </row>
    <row r="907" spans="1:23">
      <c r="A907" s="223"/>
      <c r="B907" s="1"/>
      <c r="C907" s="1"/>
      <c r="D907" s="1"/>
      <c r="E907" s="1"/>
      <c r="F907" s="1"/>
      <c r="G907" s="1"/>
      <c r="H907" s="1"/>
      <c r="I907" s="1"/>
      <c r="J907" s="1"/>
      <c r="K907" s="1"/>
      <c r="L907" s="1"/>
      <c r="M907" s="1"/>
      <c r="N907" s="1"/>
      <c r="O907" s="1"/>
      <c r="P907" s="1"/>
      <c r="Q907" s="1"/>
      <c r="R907" s="1"/>
      <c r="S907" s="1"/>
      <c r="T907" s="1"/>
      <c r="U907" s="1"/>
      <c r="V907" s="1"/>
      <c r="W907" s="1"/>
    </row>
    <row r="908" spans="1:23">
      <c r="A908" s="223"/>
      <c r="B908" s="1"/>
      <c r="C908" s="1"/>
      <c r="D908" s="1"/>
      <c r="E908" s="1"/>
      <c r="F908" s="1"/>
      <c r="G908" s="1"/>
      <c r="H908" s="1"/>
      <c r="I908" s="1"/>
      <c r="J908" s="1"/>
      <c r="K908" s="1"/>
      <c r="L908" s="1"/>
      <c r="M908" s="1"/>
      <c r="N908" s="1"/>
      <c r="O908" s="1"/>
      <c r="P908" s="1"/>
      <c r="Q908" s="1"/>
      <c r="R908" s="1"/>
      <c r="S908" s="1"/>
      <c r="T908" s="1"/>
      <c r="U908" s="1"/>
      <c r="V908" s="1"/>
      <c r="W908" s="1"/>
    </row>
    <row r="909" spans="1:23">
      <c r="A909" s="223"/>
      <c r="B909" s="1"/>
      <c r="C909" s="1"/>
      <c r="D909" s="1"/>
      <c r="E909" s="1"/>
      <c r="F909" s="1"/>
      <c r="G909" s="1"/>
      <c r="H909" s="1"/>
      <c r="I909" s="1"/>
      <c r="J909" s="1"/>
      <c r="K909" s="1"/>
      <c r="L909" s="1"/>
      <c r="M909" s="1"/>
      <c r="N909" s="1"/>
      <c r="O909" s="1"/>
      <c r="P909" s="1"/>
      <c r="Q909" s="1"/>
      <c r="R909" s="1"/>
      <c r="S909" s="1"/>
      <c r="T909" s="1"/>
      <c r="U909" s="1"/>
      <c r="V909" s="1"/>
      <c r="W909" s="1"/>
    </row>
    <row r="910" spans="1:23">
      <c r="A910" s="223"/>
      <c r="B910" s="1"/>
      <c r="C910" s="1"/>
      <c r="D910" s="1"/>
      <c r="E910" s="1"/>
      <c r="F910" s="1"/>
      <c r="G910" s="1"/>
      <c r="H910" s="1"/>
      <c r="I910" s="1"/>
      <c r="J910" s="1"/>
      <c r="K910" s="1"/>
      <c r="L910" s="1"/>
      <c r="M910" s="1"/>
      <c r="N910" s="1"/>
      <c r="O910" s="1"/>
      <c r="P910" s="1"/>
      <c r="Q910" s="1"/>
      <c r="R910" s="1"/>
      <c r="S910" s="1"/>
      <c r="T910" s="1"/>
      <c r="U910" s="1"/>
      <c r="V910" s="1"/>
      <c r="W910" s="1"/>
    </row>
    <row r="911" spans="1:23">
      <c r="A911" s="223"/>
      <c r="B911" s="1"/>
      <c r="C911" s="1"/>
      <c r="D911" s="1"/>
      <c r="E911" s="1"/>
      <c r="F911" s="1"/>
      <c r="G911" s="1"/>
      <c r="H911" s="1"/>
      <c r="I911" s="1"/>
      <c r="J911" s="1"/>
      <c r="K911" s="1"/>
      <c r="L911" s="1"/>
      <c r="M911" s="1"/>
      <c r="N911" s="1"/>
      <c r="O911" s="1"/>
      <c r="P911" s="1"/>
      <c r="Q911" s="1"/>
      <c r="R911" s="1"/>
      <c r="S911" s="1"/>
      <c r="T911" s="1"/>
      <c r="U911" s="1"/>
      <c r="V911" s="1"/>
      <c r="W911" s="1"/>
    </row>
    <row r="912" spans="1:23">
      <c r="A912" s="223"/>
      <c r="B912" s="1"/>
      <c r="C912" s="1"/>
      <c r="D912" s="1"/>
      <c r="E912" s="1"/>
      <c r="F912" s="1"/>
      <c r="G912" s="1"/>
      <c r="H912" s="1"/>
      <c r="I912" s="1"/>
      <c r="J912" s="1"/>
      <c r="K912" s="1"/>
      <c r="L912" s="1"/>
      <c r="M912" s="1"/>
      <c r="N912" s="1"/>
      <c r="O912" s="1"/>
      <c r="P912" s="1"/>
      <c r="Q912" s="1"/>
      <c r="R912" s="1"/>
      <c r="S912" s="1"/>
      <c r="T912" s="1"/>
      <c r="U912" s="1"/>
      <c r="V912" s="1"/>
      <c r="W912" s="1"/>
    </row>
    <row r="913" spans="1:23">
      <c r="A913" s="223"/>
      <c r="B913" s="1"/>
      <c r="C913" s="1"/>
      <c r="D913" s="1"/>
      <c r="E913" s="1"/>
      <c r="F913" s="1"/>
      <c r="G913" s="1"/>
      <c r="H913" s="1"/>
      <c r="I913" s="1"/>
      <c r="J913" s="1"/>
      <c r="K913" s="1"/>
      <c r="L913" s="1"/>
      <c r="M913" s="1"/>
      <c r="N913" s="1"/>
      <c r="O913" s="1"/>
      <c r="P913" s="1"/>
      <c r="Q913" s="1"/>
      <c r="R913" s="1"/>
      <c r="S913" s="1"/>
      <c r="T913" s="1"/>
      <c r="U913" s="1"/>
      <c r="V913" s="1"/>
      <c r="W913" s="1"/>
    </row>
    <row r="914" spans="1:23">
      <c r="A914" s="223"/>
      <c r="B914" s="1"/>
      <c r="C914" s="1"/>
      <c r="D914" s="1"/>
      <c r="E914" s="1"/>
      <c r="F914" s="1"/>
      <c r="G914" s="1"/>
      <c r="H914" s="1"/>
      <c r="I914" s="1"/>
      <c r="J914" s="1"/>
      <c r="K914" s="1"/>
      <c r="L914" s="1"/>
      <c r="M914" s="1"/>
      <c r="N914" s="1"/>
      <c r="O914" s="1"/>
      <c r="P914" s="1"/>
      <c r="Q914" s="1"/>
      <c r="R914" s="1"/>
      <c r="S914" s="1"/>
      <c r="T914" s="1"/>
      <c r="U914" s="1"/>
      <c r="V914" s="1"/>
      <c r="W914" s="1"/>
    </row>
    <row r="915" spans="1:23">
      <c r="A915" s="223"/>
      <c r="B915" s="1"/>
      <c r="C915" s="1"/>
      <c r="D915" s="1"/>
      <c r="E915" s="1"/>
      <c r="F915" s="1"/>
      <c r="G915" s="1"/>
      <c r="H915" s="1"/>
      <c r="I915" s="1"/>
      <c r="J915" s="1"/>
      <c r="K915" s="1"/>
      <c r="L915" s="1"/>
      <c r="M915" s="1"/>
      <c r="N915" s="1"/>
      <c r="O915" s="1"/>
      <c r="P915" s="1"/>
      <c r="Q915" s="1"/>
      <c r="R915" s="1"/>
      <c r="S915" s="1"/>
      <c r="T915" s="1"/>
      <c r="U915" s="1"/>
      <c r="V915" s="1"/>
      <c r="W915" s="1"/>
    </row>
    <row r="916" spans="1:23">
      <c r="A916" s="223"/>
      <c r="B916" s="1"/>
      <c r="C916" s="1"/>
      <c r="D916" s="1"/>
      <c r="E916" s="1"/>
      <c r="F916" s="1"/>
      <c r="G916" s="1"/>
      <c r="H916" s="1"/>
      <c r="I916" s="1"/>
      <c r="J916" s="1"/>
      <c r="K916" s="1"/>
      <c r="L916" s="1"/>
      <c r="M916" s="1"/>
      <c r="N916" s="1"/>
      <c r="O916" s="1"/>
      <c r="P916" s="1"/>
      <c r="Q916" s="1"/>
      <c r="R916" s="1"/>
      <c r="S916" s="1"/>
      <c r="T916" s="1"/>
      <c r="U916" s="1"/>
      <c r="V916" s="1"/>
      <c r="W916" s="1"/>
    </row>
    <row r="917" spans="1:23">
      <c r="A917" s="223"/>
      <c r="B917" s="1"/>
      <c r="C917" s="1"/>
      <c r="D917" s="1"/>
      <c r="E917" s="1"/>
      <c r="F917" s="1"/>
      <c r="G917" s="1"/>
      <c r="H917" s="1"/>
      <c r="I917" s="1"/>
      <c r="J917" s="1"/>
      <c r="K917" s="1"/>
      <c r="L917" s="1"/>
      <c r="M917" s="1"/>
      <c r="N917" s="1"/>
      <c r="O917" s="1"/>
      <c r="P917" s="1"/>
      <c r="Q917" s="1"/>
      <c r="R917" s="1"/>
      <c r="S917" s="1"/>
      <c r="T917" s="1"/>
      <c r="U917" s="1"/>
      <c r="V917" s="1"/>
      <c r="W917" s="1"/>
    </row>
    <row r="918" spans="1:23">
      <c r="A918" s="223"/>
      <c r="B918" s="1"/>
      <c r="C918" s="1"/>
      <c r="D918" s="1"/>
      <c r="E918" s="1"/>
      <c r="F918" s="1"/>
      <c r="G918" s="1"/>
      <c r="H918" s="1"/>
      <c r="I918" s="1"/>
      <c r="J918" s="1"/>
      <c r="K918" s="1"/>
      <c r="L918" s="1"/>
      <c r="M918" s="1"/>
      <c r="N918" s="1"/>
      <c r="O918" s="1"/>
      <c r="P918" s="1"/>
      <c r="Q918" s="1"/>
      <c r="R918" s="1"/>
      <c r="S918" s="1"/>
      <c r="T918" s="1"/>
      <c r="U918" s="1"/>
      <c r="V918" s="1"/>
      <c r="W918" s="1"/>
    </row>
    <row r="919" spans="1:23">
      <c r="A919" s="223"/>
      <c r="B919" s="1"/>
      <c r="C919" s="1"/>
      <c r="D919" s="1"/>
      <c r="E919" s="1"/>
      <c r="F919" s="1"/>
      <c r="G919" s="1"/>
      <c r="H919" s="1"/>
      <c r="I919" s="1"/>
      <c r="J919" s="1"/>
      <c r="K919" s="1"/>
      <c r="L919" s="1"/>
      <c r="M919" s="1"/>
      <c r="N919" s="1"/>
      <c r="O919" s="1"/>
      <c r="P919" s="1"/>
      <c r="Q919" s="1"/>
      <c r="R919" s="1"/>
      <c r="S919" s="1"/>
      <c r="T919" s="1"/>
      <c r="U919" s="1"/>
      <c r="V919" s="1"/>
      <c r="W919" s="1"/>
    </row>
    <row r="920" spans="1:23">
      <c r="A920" s="223"/>
      <c r="B920" s="1"/>
      <c r="C920" s="1"/>
      <c r="D920" s="1"/>
      <c r="E920" s="1"/>
      <c r="F920" s="1"/>
      <c r="G920" s="1"/>
      <c r="H920" s="1"/>
      <c r="I920" s="1"/>
      <c r="J920" s="1"/>
      <c r="K920" s="1"/>
      <c r="L920" s="1"/>
      <c r="M920" s="1"/>
      <c r="N920" s="1"/>
      <c r="O920" s="1"/>
      <c r="P920" s="1"/>
      <c r="Q920" s="1"/>
      <c r="R920" s="1"/>
      <c r="S920" s="1"/>
      <c r="T920" s="1"/>
      <c r="U920" s="1"/>
      <c r="V920" s="1"/>
      <c r="W920" s="1"/>
    </row>
    <row r="921" spans="1:23">
      <c r="A921" s="223"/>
      <c r="B921" s="1"/>
      <c r="C921" s="1"/>
      <c r="D921" s="1"/>
      <c r="E921" s="1"/>
      <c r="F921" s="1"/>
      <c r="G921" s="1"/>
      <c r="H921" s="1"/>
      <c r="I921" s="1"/>
      <c r="J921" s="1"/>
      <c r="K921" s="1"/>
      <c r="L921" s="1"/>
      <c r="M921" s="1"/>
      <c r="N921" s="1"/>
      <c r="O921" s="1"/>
      <c r="P921" s="1"/>
      <c r="Q921" s="1"/>
      <c r="R921" s="1"/>
      <c r="S921" s="1"/>
      <c r="T921" s="1"/>
      <c r="U921" s="1"/>
      <c r="V921" s="1"/>
      <c r="W921" s="1"/>
    </row>
    <row r="922" spans="1:23">
      <c r="A922" s="223"/>
      <c r="B922" s="1"/>
      <c r="C922" s="1"/>
      <c r="D922" s="1"/>
      <c r="E922" s="1"/>
      <c r="F922" s="1"/>
      <c r="G922" s="1"/>
      <c r="H922" s="1"/>
      <c r="I922" s="1"/>
      <c r="J922" s="1"/>
      <c r="K922" s="1"/>
      <c r="L922" s="1"/>
      <c r="M922" s="1"/>
      <c r="N922" s="1"/>
      <c r="O922" s="1"/>
      <c r="P922" s="1"/>
      <c r="Q922" s="1"/>
      <c r="R922" s="1"/>
      <c r="S922" s="1"/>
      <c r="T922" s="1"/>
      <c r="U922" s="1"/>
      <c r="V922" s="1"/>
      <c r="W922" s="1"/>
    </row>
    <row r="923" spans="1:23">
      <c r="A923" s="223"/>
      <c r="B923" s="1"/>
      <c r="C923" s="1"/>
      <c r="D923" s="1"/>
      <c r="E923" s="1"/>
      <c r="F923" s="1"/>
      <c r="G923" s="1"/>
      <c r="H923" s="1"/>
      <c r="I923" s="1"/>
      <c r="J923" s="1"/>
      <c r="K923" s="1"/>
      <c r="L923" s="1"/>
      <c r="M923" s="1"/>
      <c r="N923" s="1"/>
      <c r="O923" s="1"/>
      <c r="P923" s="1"/>
      <c r="Q923" s="1"/>
      <c r="R923" s="1"/>
      <c r="S923" s="1"/>
      <c r="T923" s="1"/>
      <c r="U923" s="1"/>
      <c r="V923" s="1"/>
      <c r="W923" s="1"/>
    </row>
    <row r="924" spans="1:23">
      <c r="A924" s="223"/>
      <c r="B924" s="1"/>
      <c r="C924" s="1"/>
      <c r="D924" s="1"/>
      <c r="E924" s="1"/>
      <c r="F924" s="1"/>
      <c r="G924" s="1"/>
      <c r="H924" s="1"/>
      <c r="I924" s="1"/>
      <c r="J924" s="1"/>
      <c r="K924" s="1"/>
      <c r="L924" s="1"/>
      <c r="M924" s="1"/>
      <c r="N924" s="1"/>
      <c r="O924" s="1"/>
      <c r="P924" s="1"/>
      <c r="Q924" s="1"/>
      <c r="R924" s="1"/>
      <c r="S924" s="1"/>
      <c r="T924" s="1"/>
      <c r="U924" s="1"/>
      <c r="V924" s="1"/>
      <c r="W924" s="1"/>
    </row>
    <row r="925" spans="1:23">
      <c r="A925" s="223"/>
      <c r="B925" s="1"/>
      <c r="C925" s="1"/>
      <c r="D925" s="1"/>
      <c r="E925" s="1"/>
      <c r="F925" s="1"/>
      <c r="G925" s="1"/>
      <c r="H925" s="1"/>
      <c r="I925" s="1"/>
      <c r="J925" s="1"/>
      <c r="K925" s="1"/>
      <c r="L925" s="1"/>
      <c r="M925" s="1"/>
      <c r="N925" s="1"/>
      <c r="O925" s="1"/>
      <c r="P925" s="1"/>
      <c r="Q925" s="1"/>
      <c r="R925" s="1"/>
      <c r="S925" s="1"/>
      <c r="T925" s="1"/>
      <c r="U925" s="1"/>
      <c r="V925" s="1"/>
      <c r="W925" s="1"/>
    </row>
    <row r="926" spans="1:23">
      <c r="A926" s="223"/>
      <c r="B926" s="1"/>
      <c r="C926" s="1"/>
      <c r="D926" s="1"/>
      <c r="E926" s="1"/>
      <c r="F926" s="1"/>
      <c r="G926" s="1"/>
      <c r="H926" s="1"/>
      <c r="I926" s="1"/>
      <c r="J926" s="1"/>
      <c r="K926" s="1"/>
      <c r="L926" s="1"/>
      <c r="M926" s="1"/>
      <c r="N926" s="1"/>
      <c r="O926" s="1"/>
      <c r="P926" s="1"/>
      <c r="Q926" s="1"/>
      <c r="R926" s="1"/>
      <c r="S926" s="1"/>
      <c r="T926" s="1"/>
      <c r="U926" s="1"/>
      <c r="V926" s="1"/>
      <c r="W926" s="1"/>
    </row>
    <row r="927" spans="1:23">
      <c r="A927" s="223"/>
      <c r="B927" s="1"/>
      <c r="C927" s="1"/>
      <c r="D927" s="1"/>
      <c r="E927" s="1"/>
      <c r="F927" s="1"/>
      <c r="G927" s="1"/>
      <c r="H927" s="1"/>
      <c r="I927" s="1"/>
      <c r="J927" s="1"/>
      <c r="K927" s="1"/>
      <c r="L927" s="1"/>
      <c r="M927" s="1"/>
      <c r="N927" s="1"/>
      <c r="O927" s="1"/>
      <c r="P927" s="1"/>
      <c r="Q927" s="1"/>
      <c r="R927" s="1"/>
      <c r="S927" s="1"/>
      <c r="T927" s="1"/>
      <c r="U927" s="1"/>
      <c r="V927" s="1"/>
      <c r="W927" s="1"/>
    </row>
    <row r="928" spans="1:23">
      <c r="A928" s="223"/>
      <c r="B928" s="1"/>
      <c r="C928" s="1"/>
      <c r="D928" s="1"/>
      <c r="E928" s="1"/>
      <c r="F928" s="1"/>
      <c r="G928" s="1"/>
      <c r="H928" s="1"/>
      <c r="I928" s="1"/>
      <c r="J928" s="1"/>
      <c r="K928" s="1"/>
      <c r="L928" s="1"/>
      <c r="M928" s="1"/>
      <c r="N928" s="1"/>
      <c r="O928" s="1"/>
      <c r="P928" s="1"/>
      <c r="Q928" s="1"/>
      <c r="R928" s="1"/>
      <c r="S928" s="1"/>
      <c r="T928" s="1"/>
      <c r="U928" s="1"/>
      <c r="V928" s="1"/>
      <c r="W928" s="1"/>
    </row>
    <row r="929" spans="1:23">
      <c r="A929" s="223"/>
      <c r="B929" s="1"/>
      <c r="C929" s="1"/>
      <c r="D929" s="1"/>
      <c r="E929" s="1"/>
      <c r="F929" s="1"/>
      <c r="G929" s="1"/>
      <c r="H929" s="1"/>
      <c r="I929" s="1"/>
      <c r="J929" s="1"/>
      <c r="K929" s="1"/>
      <c r="L929" s="1"/>
      <c r="M929" s="1"/>
      <c r="N929" s="1"/>
      <c r="O929" s="1"/>
      <c r="P929" s="1"/>
      <c r="Q929" s="1"/>
      <c r="R929" s="1"/>
      <c r="S929" s="1"/>
      <c r="T929" s="1"/>
      <c r="U929" s="1"/>
      <c r="V929" s="1"/>
      <c r="W929" s="1"/>
    </row>
    <row r="930" spans="1:23">
      <c r="A930" s="223"/>
      <c r="B930" s="1"/>
      <c r="C930" s="1"/>
      <c r="D930" s="1"/>
      <c r="E930" s="1"/>
      <c r="F930" s="1"/>
      <c r="G930" s="1"/>
      <c r="H930" s="1"/>
      <c r="I930" s="1"/>
      <c r="J930" s="1"/>
      <c r="K930" s="1"/>
      <c r="L930" s="1"/>
      <c r="M930" s="1"/>
      <c r="N930" s="1"/>
      <c r="O930" s="1"/>
      <c r="P930" s="1"/>
      <c r="Q930" s="1"/>
      <c r="R930" s="1"/>
      <c r="S930" s="1"/>
      <c r="T930" s="1"/>
      <c r="U930" s="1"/>
      <c r="V930" s="1"/>
      <c r="W930" s="1"/>
    </row>
    <row r="931" spans="1:23">
      <c r="A931" s="223"/>
      <c r="B931" s="1"/>
      <c r="C931" s="1"/>
      <c r="D931" s="1"/>
      <c r="E931" s="1"/>
      <c r="F931" s="1"/>
      <c r="G931" s="1"/>
      <c r="H931" s="1"/>
      <c r="I931" s="1"/>
      <c r="J931" s="1"/>
      <c r="K931" s="1"/>
      <c r="L931" s="1"/>
      <c r="M931" s="1"/>
      <c r="N931" s="1"/>
      <c r="O931" s="1"/>
      <c r="P931" s="1"/>
      <c r="Q931" s="1"/>
      <c r="R931" s="1"/>
      <c r="S931" s="1"/>
      <c r="T931" s="1"/>
      <c r="U931" s="1"/>
      <c r="V931" s="1"/>
      <c r="W931" s="1"/>
    </row>
    <row r="932" spans="1:23">
      <c r="A932" s="223"/>
      <c r="B932" s="1"/>
      <c r="C932" s="1"/>
      <c r="D932" s="1"/>
      <c r="E932" s="1"/>
      <c r="F932" s="1"/>
      <c r="G932" s="1"/>
      <c r="H932" s="1"/>
      <c r="I932" s="1"/>
      <c r="J932" s="1"/>
      <c r="K932" s="1"/>
      <c r="L932" s="1"/>
      <c r="M932" s="1"/>
      <c r="N932" s="1"/>
      <c r="O932" s="1"/>
      <c r="P932" s="1"/>
      <c r="Q932" s="1"/>
      <c r="R932" s="1"/>
      <c r="S932" s="1"/>
      <c r="T932" s="1"/>
      <c r="U932" s="1"/>
      <c r="V932" s="1"/>
      <c r="W932" s="1"/>
    </row>
    <row r="933" spans="1:23">
      <c r="A933" s="223"/>
      <c r="B933" s="1"/>
      <c r="C933" s="1"/>
      <c r="D933" s="1"/>
      <c r="E933" s="1"/>
      <c r="F933" s="1"/>
      <c r="G933" s="1"/>
      <c r="H933" s="1"/>
      <c r="I933" s="1"/>
      <c r="J933" s="1"/>
      <c r="K933" s="1"/>
      <c r="L933" s="1"/>
      <c r="M933" s="1"/>
      <c r="N933" s="1"/>
      <c r="O933" s="1"/>
      <c r="P933" s="1"/>
      <c r="Q933" s="1"/>
      <c r="R933" s="1"/>
      <c r="S933" s="1"/>
      <c r="T933" s="1"/>
      <c r="U933" s="1"/>
      <c r="V933" s="1"/>
      <c r="W933" s="1"/>
    </row>
    <row r="934" spans="1:23">
      <c r="A934" s="223"/>
      <c r="B934" s="1"/>
      <c r="C934" s="1"/>
      <c r="D934" s="1"/>
      <c r="E934" s="1"/>
      <c r="F934" s="1"/>
      <c r="G934" s="1"/>
      <c r="H934" s="1"/>
      <c r="I934" s="1"/>
      <c r="J934" s="1"/>
      <c r="K934" s="1"/>
      <c r="L934" s="1"/>
      <c r="M934" s="1"/>
      <c r="N934" s="1"/>
      <c r="O934" s="1"/>
      <c r="P934" s="1"/>
      <c r="Q934" s="1"/>
      <c r="R934" s="1"/>
      <c r="S934" s="1"/>
      <c r="T934" s="1"/>
      <c r="U934" s="1"/>
      <c r="V934" s="1"/>
      <c r="W934" s="1"/>
    </row>
    <row r="935" spans="1:23">
      <c r="A935" s="223"/>
      <c r="B935" s="1"/>
      <c r="C935" s="1"/>
      <c r="D935" s="1"/>
      <c r="E935" s="1"/>
      <c r="F935" s="1"/>
      <c r="G935" s="1"/>
      <c r="H935" s="1"/>
      <c r="I935" s="1"/>
      <c r="J935" s="1"/>
      <c r="K935" s="1"/>
      <c r="L935" s="1"/>
      <c r="M935" s="1"/>
      <c r="N935" s="1"/>
      <c r="O935" s="1"/>
      <c r="P935" s="1"/>
      <c r="Q935" s="1"/>
      <c r="R935" s="1"/>
      <c r="S935" s="1"/>
      <c r="T935" s="1"/>
      <c r="U935" s="1"/>
      <c r="V935" s="1"/>
      <c r="W935" s="1"/>
    </row>
    <row r="936" spans="1:23">
      <c r="A936" s="223"/>
      <c r="B936" s="1"/>
      <c r="C936" s="1"/>
      <c r="D936" s="1"/>
      <c r="E936" s="1"/>
      <c r="F936" s="1"/>
      <c r="G936" s="1"/>
      <c r="H936" s="1"/>
      <c r="I936" s="1"/>
      <c r="J936" s="1"/>
      <c r="K936" s="1"/>
      <c r="L936" s="1"/>
      <c r="M936" s="1"/>
      <c r="N936" s="1"/>
      <c r="O936" s="1"/>
      <c r="P936" s="1"/>
      <c r="Q936" s="1"/>
      <c r="R936" s="1"/>
      <c r="S936" s="1"/>
      <c r="T936" s="1"/>
      <c r="U936" s="1"/>
      <c r="V936" s="1"/>
      <c r="W936"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EF3DB-A582-4540-B39A-CAF2CEF6FBC4}">
  <sheetPr>
    <tabColor theme="7"/>
    <outlinePr summaryBelow="0" summaryRight="0"/>
  </sheetPr>
  <dimension ref="A1:S119"/>
  <sheetViews>
    <sheetView topLeftCell="A15" zoomScale="160" zoomScaleNormal="160" workbookViewId="0">
      <selection activeCell="C22" sqref="C22"/>
    </sheetView>
  </sheetViews>
  <sheetFormatPr defaultColWidth="12.7109375" defaultRowHeight="15.95"/>
  <cols>
    <col min="1" max="1" width="4" style="510" customWidth="1"/>
    <col min="2" max="2" width="54.42578125" style="507" customWidth="1"/>
    <col min="3" max="3" width="15" style="510" customWidth="1"/>
    <col min="4" max="4" width="17.28515625" style="508" customWidth="1"/>
    <col min="5" max="5" width="14.28515625" style="507" customWidth="1"/>
    <col min="6" max="6" width="16.42578125" style="509" customWidth="1"/>
    <col min="7" max="7" width="101.140625" style="510" customWidth="1"/>
    <col min="8" max="8" width="20.140625" style="508" customWidth="1"/>
    <col min="9" max="9" width="10.85546875" style="507" customWidth="1"/>
    <col min="10" max="10" width="11.140625" style="507" customWidth="1"/>
    <col min="11" max="11" width="13.28515625" style="507" customWidth="1"/>
    <col min="12" max="12" width="10.28515625" style="507" customWidth="1"/>
    <col min="13" max="16384" width="12.7109375" style="507"/>
  </cols>
  <sheetData>
    <row r="1" spans="1:8" ht="21">
      <c r="B1" s="519" t="s">
        <v>11</v>
      </c>
      <c r="C1" s="506"/>
    </row>
    <row r="2" spans="1:8" s="523" customFormat="1" ht="15">
      <c r="A2" s="525"/>
      <c r="B2" s="520" t="s">
        <v>12</v>
      </c>
      <c r="C2" s="521"/>
      <c r="D2" s="522"/>
      <c r="F2" s="524"/>
      <c r="G2" s="525"/>
      <c r="H2" s="522"/>
    </row>
    <row r="3" spans="1:8" s="523" customFormat="1" ht="15">
      <c r="A3" s="525"/>
      <c r="B3" s="520"/>
      <c r="C3" s="521"/>
      <c r="D3" s="522"/>
      <c r="F3" s="524"/>
      <c r="G3" s="525"/>
      <c r="H3" s="522"/>
    </row>
    <row r="4" spans="1:8" s="523" customFormat="1" thickBot="1">
      <c r="A4" s="525"/>
      <c r="B4" s="526" t="s">
        <v>13</v>
      </c>
      <c r="C4" s="521"/>
      <c r="D4" s="522"/>
      <c r="F4" s="523" t="s">
        <v>14</v>
      </c>
    </row>
    <row r="5" spans="1:8" s="523" customFormat="1" thickBot="1">
      <c r="A5" s="525"/>
      <c r="B5" s="527" t="s">
        <v>15</v>
      </c>
      <c r="C5" s="528" t="s">
        <v>16</v>
      </c>
      <c r="D5" s="529" t="s">
        <v>17</v>
      </c>
      <c r="F5" s="530"/>
      <c r="G5" s="531" t="s">
        <v>18</v>
      </c>
    </row>
    <row r="6" spans="1:8" s="523" customFormat="1" ht="15">
      <c r="A6" s="525"/>
      <c r="B6" s="532" t="s">
        <v>19</v>
      </c>
      <c r="C6" s="533">
        <v>1</v>
      </c>
      <c r="D6" s="534">
        <f>'Receipts &amp; Utilisation'!J10+'Receipts &amp; Utilisation'!J13</f>
        <v>5426.0727571475436</v>
      </c>
      <c r="F6" s="535">
        <v>1</v>
      </c>
      <c r="G6" s="536" t="s">
        <v>20</v>
      </c>
    </row>
    <row r="7" spans="1:8" s="523" customFormat="1" ht="15">
      <c r="A7" s="525"/>
      <c r="B7" s="537" t="s">
        <v>21</v>
      </c>
      <c r="C7" s="533">
        <v>1</v>
      </c>
      <c r="D7" s="539">
        <f>'Receipts &amp; Utilisation'!J11</f>
        <v>6524.759974623772</v>
      </c>
      <c r="F7" s="535">
        <f>F6+1</f>
        <v>2</v>
      </c>
      <c r="G7" s="536" t="s">
        <v>22</v>
      </c>
    </row>
    <row r="8" spans="1:8" s="523" customFormat="1" thickBot="1">
      <c r="A8" s="525"/>
      <c r="B8" s="537" t="s">
        <v>23</v>
      </c>
      <c r="C8" s="533">
        <v>1</v>
      </c>
      <c r="D8" s="539">
        <f>'Receipts &amp; Utilisation'!J12</f>
        <v>3876.1985494989085</v>
      </c>
      <c r="F8" s="535">
        <f t="shared" ref="F8:F15" si="0">F7+1</f>
        <v>3</v>
      </c>
      <c r="G8" s="536" t="s">
        <v>24</v>
      </c>
    </row>
    <row r="9" spans="1:8" s="523" customFormat="1" thickBot="1">
      <c r="A9" s="525"/>
      <c r="B9" s="540" t="s">
        <v>25</v>
      </c>
      <c r="C9" s="541"/>
      <c r="D9" s="542">
        <f>SUM(D6:D8)</f>
        <v>15827.031281270225</v>
      </c>
      <c r="F9" s="535">
        <f t="shared" si="0"/>
        <v>4</v>
      </c>
      <c r="G9" s="536" t="s">
        <v>26</v>
      </c>
    </row>
    <row r="10" spans="1:8" s="523" customFormat="1" ht="15">
      <c r="A10" s="525"/>
      <c r="F10" s="535">
        <f t="shared" si="0"/>
        <v>5</v>
      </c>
      <c r="G10" s="536" t="s">
        <v>27</v>
      </c>
    </row>
    <row r="11" spans="1:8" s="523" customFormat="1" thickBot="1">
      <c r="A11" s="525"/>
      <c r="B11" s="526" t="s">
        <v>28</v>
      </c>
      <c r="C11" s="521"/>
      <c r="D11" s="543"/>
      <c r="F11" s="535">
        <f t="shared" si="0"/>
        <v>6</v>
      </c>
      <c r="G11" s="536" t="s">
        <v>29</v>
      </c>
    </row>
    <row r="12" spans="1:8" s="523" customFormat="1" thickBot="1">
      <c r="A12" s="525"/>
      <c r="B12" s="527" t="s">
        <v>30</v>
      </c>
      <c r="C12" s="528" t="s">
        <v>16</v>
      </c>
      <c r="D12" s="529" t="s">
        <v>17</v>
      </c>
      <c r="F12" s="535">
        <f t="shared" si="0"/>
        <v>7</v>
      </c>
      <c r="G12" s="536" t="s">
        <v>31</v>
      </c>
    </row>
    <row r="13" spans="1:8" s="523" customFormat="1" ht="15">
      <c r="A13" s="525"/>
      <c r="B13" s="544" t="s">
        <v>32</v>
      </c>
      <c r="C13" s="533">
        <v>3</v>
      </c>
      <c r="D13" s="534">
        <f>'Receipts &amp; Utilisation'!G45</f>
        <v>-647.32940412220614</v>
      </c>
      <c r="F13" s="535">
        <f t="shared" si="0"/>
        <v>8</v>
      </c>
      <c r="G13" s="536" t="s">
        <v>33</v>
      </c>
    </row>
    <row r="14" spans="1:8" s="523" customFormat="1" ht="15">
      <c r="A14" s="525"/>
      <c r="B14" s="545" t="s">
        <v>34</v>
      </c>
      <c r="C14" s="533">
        <v>3</v>
      </c>
      <c r="D14" s="539">
        <f>'Receipts &amp; Utilisation'!H45</f>
        <v>4402.6132533332948</v>
      </c>
      <c r="F14" s="535">
        <f t="shared" si="0"/>
        <v>9</v>
      </c>
      <c r="G14" s="536" t="s">
        <v>35</v>
      </c>
    </row>
    <row r="15" spans="1:8" s="523" customFormat="1" thickBot="1">
      <c r="A15" s="525"/>
      <c r="B15" s="546" t="s">
        <v>36</v>
      </c>
      <c r="C15" s="533">
        <v>3</v>
      </c>
      <c r="D15" s="548">
        <f>'Receipts &amp; Utilisation'!I45</f>
        <v>8098.2577673333453</v>
      </c>
      <c r="F15" s="549">
        <f t="shared" si="0"/>
        <v>10</v>
      </c>
      <c r="G15" s="550" t="s">
        <v>37</v>
      </c>
    </row>
    <row r="16" spans="1:8" s="523" customFormat="1" thickBot="1">
      <c r="A16" s="525"/>
      <c r="B16" s="540" t="s">
        <v>25</v>
      </c>
      <c r="C16" s="541"/>
      <c r="D16" s="542">
        <f>SUM(D13:D15)</f>
        <v>11853.541616544433</v>
      </c>
      <c r="G16" s="525"/>
    </row>
    <row r="17" spans="1:8" s="523" customFormat="1" thickBot="1">
      <c r="A17" s="525"/>
      <c r="F17" s="551"/>
      <c r="G17" s="552" t="s">
        <v>38</v>
      </c>
      <c r="H17" s="522"/>
    </row>
    <row r="18" spans="1:8" s="523" customFormat="1" thickBot="1">
      <c r="A18" s="525"/>
      <c r="B18" s="526" t="s">
        <v>39</v>
      </c>
      <c r="C18" s="525"/>
      <c r="D18" s="522"/>
      <c r="F18" s="535">
        <v>1</v>
      </c>
      <c r="G18" s="536" t="s">
        <v>40</v>
      </c>
    </row>
    <row r="19" spans="1:8" s="523" customFormat="1" thickBot="1">
      <c r="A19" s="525"/>
      <c r="B19" s="527" t="s">
        <v>41</v>
      </c>
      <c r="C19" s="528" t="s">
        <v>16</v>
      </c>
      <c r="D19" s="529" t="s">
        <v>17</v>
      </c>
      <c r="F19" s="535">
        <f>F18+1</f>
        <v>2</v>
      </c>
      <c r="G19" s="536" t="s">
        <v>42</v>
      </c>
      <c r="H19" s="522"/>
    </row>
    <row r="20" spans="1:8" s="523" customFormat="1" ht="15">
      <c r="A20" s="525"/>
      <c r="B20" s="532" t="s">
        <v>43</v>
      </c>
      <c r="C20" s="533"/>
      <c r="D20" s="534">
        <f>'Receipts &amp; Utilisation'!J21</f>
        <v>0</v>
      </c>
      <c r="F20" s="535">
        <f t="shared" ref="F20:F27" si="1">F19+1</f>
        <v>3</v>
      </c>
      <c r="G20" s="536" t="s">
        <v>44</v>
      </c>
      <c r="H20" s="553"/>
    </row>
    <row r="21" spans="1:8" s="523" customFormat="1" thickBot="1">
      <c r="A21" s="525"/>
      <c r="B21" s="554" t="s">
        <v>45</v>
      </c>
      <c r="C21" s="547">
        <v>2</v>
      </c>
      <c r="D21" s="548">
        <f>'Receipts &amp; Utilisation'!J22</f>
        <v>3124.5105119890832</v>
      </c>
      <c r="F21" s="535">
        <f t="shared" si="1"/>
        <v>4</v>
      </c>
      <c r="G21" s="536" t="s">
        <v>46</v>
      </c>
      <c r="H21" s="553"/>
    </row>
    <row r="22" spans="1:8" s="523" customFormat="1" thickBot="1">
      <c r="A22" s="525"/>
      <c r="B22" s="540" t="s">
        <v>25</v>
      </c>
      <c r="C22" s="555"/>
      <c r="D22" s="542">
        <f>SUM(D20:D21)</f>
        <v>3124.5105119890832</v>
      </c>
      <c r="F22" s="535">
        <f t="shared" si="1"/>
        <v>5</v>
      </c>
      <c r="G22" s="536" t="s">
        <v>47</v>
      </c>
      <c r="H22" s="553"/>
    </row>
    <row r="23" spans="1:8" s="523" customFormat="1" ht="15">
      <c r="A23" s="525"/>
      <c r="F23" s="535">
        <f t="shared" si="1"/>
        <v>6</v>
      </c>
      <c r="G23" s="536" t="s">
        <v>48</v>
      </c>
      <c r="H23" s="553"/>
    </row>
    <row r="24" spans="1:8" s="523" customFormat="1" thickBot="1">
      <c r="A24" s="525"/>
      <c r="B24" s="526" t="s">
        <v>49</v>
      </c>
      <c r="C24" s="525"/>
      <c r="D24" s="522"/>
      <c r="F24" s="535">
        <f t="shared" si="1"/>
        <v>7</v>
      </c>
      <c r="G24" s="536" t="s">
        <v>50</v>
      </c>
      <c r="H24" s="553"/>
    </row>
    <row r="25" spans="1:8" s="523" customFormat="1" thickBot="1">
      <c r="A25" s="525"/>
      <c r="B25" s="527" t="s">
        <v>41</v>
      </c>
      <c r="C25" s="528" t="s">
        <v>16</v>
      </c>
      <c r="D25" s="529" t="s">
        <v>17</v>
      </c>
      <c r="F25" s="535">
        <f t="shared" si="1"/>
        <v>8</v>
      </c>
      <c r="G25" s="536" t="s">
        <v>51</v>
      </c>
      <c r="H25" s="553"/>
    </row>
    <row r="26" spans="1:8" s="523" customFormat="1" ht="15">
      <c r="A26" s="525"/>
      <c r="B26" s="532" t="s">
        <v>52</v>
      </c>
      <c r="D26" s="534">
        <f>D6</f>
        <v>5426.0727571475436</v>
      </c>
      <c r="F26" s="535">
        <f t="shared" si="1"/>
        <v>9</v>
      </c>
      <c r="G26" s="536" t="s">
        <v>53</v>
      </c>
      <c r="H26" s="553"/>
    </row>
    <row r="27" spans="1:8" s="523" customFormat="1" thickBot="1">
      <c r="A27" s="525"/>
      <c r="B27" s="537" t="s">
        <v>54</v>
      </c>
      <c r="C27" s="533"/>
      <c r="D27" s="539">
        <f>D22</f>
        <v>3124.5105119890832</v>
      </c>
      <c r="F27" s="549">
        <f t="shared" si="1"/>
        <v>10</v>
      </c>
      <c r="G27" s="550" t="s">
        <v>55</v>
      </c>
      <c r="H27" s="553"/>
    </row>
    <row r="28" spans="1:8" s="523" customFormat="1" thickBot="1">
      <c r="A28" s="525"/>
      <c r="B28" s="554" t="s">
        <v>56</v>
      </c>
      <c r="C28" s="547"/>
      <c r="D28" s="548">
        <f>D16</f>
        <v>11853.541616544433</v>
      </c>
      <c r="F28" s="524"/>
      <c r="H28" s="553"/>
    </row>
    <row r="29" spans="1:8" s="523" customFormat="1" thickBot="1">
      <c r="A29" s="525"/>
      <c r="B29" s="540" t="s">
        <v>25</v>
      </c>
      <c r="C29" s="541"/>
      <c r="D29" s="542">
        <f>SUM(D26:D28)</f>
        <v>20404.12488568106</v>
      </c>
      <c r="F29" s="551"/>
      <c r="G29" s="552" t="s">
        <v>57</v>
      </c>
      <c r="H29" s="553"/>
    </row>
    <row r="30" spans="1:8" s="523" customFormat="1" ht="15">
      <c r="A30" s="525"/>
      <c r="F30" s="535">
        <v>1</v>
      </c>
      <c r="G30" s="556" t="s">
        <v>58</v>
      </c>
      <c r="H30" s="553"/>
    </row>
    <row r="31" spans="1:8" s="523" customFormat="1" thickBot="1">
      <c r="A31" s="525"/>
      <c r="B31" s="526" t="s">
        <v>59</v>
      </c>
      <c r="C31" s="525"/>
      <c r="D31" s="522"/>
      <c r="F31" s="535">
        <f>F30+1</f>
        <v>2</v>
      </c>
      <c r="G31" s="556" t="s">
        <v>60</v>
      </c>
      <c r="H31" s="553"/>
    </row>
    <row r="32" spans="1:8" s="523" customFormat="1" thickBot="1">
      <c r="A32" s="525"/>
      <c r="B32" s="557" t="s">
        <v>61</v>
      </c>
      <c r="C32" s="558" t="s">
        <v>16</v>
      </c>
      <c r="D32" s="559" t="s">
        <v>17</v>
      </c>
      <c r="F32" s="549">
        <f t="shared" ref="F32" si="2">F31+1</f>
        <v>3</v>
      </c>
      <c r="G32" s="560" t="s">
        <v>62</v>
      </c>
      <c r="H32" s="553"/>
    </row>
    <row r="33" spans="1:8" s="523" customFormat="1">
      <c r="A33" s="525"/>
      <c r="B33" s="578" t="s">
        <v>63</v>
      </c>
      <c r="C33" s="538"/>
      <c r="D33" s="539">
        <f>'Receipts &amp; Utilisation'!J59</f>
        <v>9365.7083136166675</v>
      </c>
      <c r="F33" s="524"/>
      <c r="G33" s="525"/>
      <c r="H33" s="553"/>
    </row>
    <row r="34" spans="1:8" s="523" customFormat="1" ht="24.75" customHeight="1">
      <c r="A34" s="525"/>
      <c r="B34" s="578" t="s">
        <v>64</v>
      </c>
      <c r="C34" s="538"/>
      <c r="D34" s="539">
        <f>'Receipts &amp; Utilisation'!J56</f>
        <v>9386.897874291637</v>
      </c>
      <c r="F34" s="561" t="s">
        <v>65</v>
      </c>
      <c r="G34" s="525"/>
      <c r="H34" s="553"/>
    </row>
    <row r="35" spans="1:8" s="523" customFormat="1">
      <c r="A35" s="525"/>
      <c r="B35" s="578" t="s">
        <v>66</v>
      </c>
      <c r="C35" s="538" t="s">
        <v>67</v>
      </c>
      <c r="D35" s="539">
        <f>'Receipts &amp; Utilisation'!J57</f>
        <v>6465.3932141828018</v>
      </c>
      <c r="F35" s="524"/>
      <c r="G35" s="525"/>
      <c r="H35" s="553"/>
    </row>
    <row r="36" spans="1:8" s="523" customFormat="1">
      <c r="A36" s="525"/>
      <c r="B36" s="578" t="s">
        <v>68</v>
      </c>
      <c r="C36" s="538"/>
      <c r="D36" s="539">
        <f>'Receipts &amp; Utilisation'!J58</f>
        <v>3138.1467498233719</v>
      </c>
      <c r="F36" s="524"/>
      <c r="G36" s="525"/>
      <c r="H36" s="553"/>
    </row>
    <row r="37" spans="1:8" s="523" customFormat="1">
      <c r="A37" s="525"/>
      <c r="B37" s="578" t="s">
        <v>69</v>
      </c>
      <c r="C37" s="538"/>
      <c r="D37" s="539">
        <f>'Receipts &amp; Utilisation'!J60</f>
        <v>1240.2411347911795</v>
      </c>
      <c r="F37" s="524"/>
      <c r="G37" s="525"/>
      <c r="H37" s="553"/>
    </row>
    <row r="38" spans="1:8" s="523" customFormat="1">
      <c r="A38" s="525"/>
      <c r="B38" s="578" t="s">
        <v>70</v>
      </c>
      <c r="C38" s="538"/>
      <c r="D38" s="539">
        <f>'Receipts &amp; Utilisation'!J13</f>
        <v>419.10035107518797</v>
      </c>
      <c r="F38" s="524"/>
      <c r="G38" s="525"/>
      <c r="H38" s="553"/>
    </row>
    <row r="39" spans="1:8" s="523" customFormat="1">
      <c r="A39" s="525"/>
      <c r="B39" s="578" t="s">
        <v>71</v>
      </c>
      <c r="C39" s="538"/>
      <c r="D39" s="539">
        <f>'Receipts &amp; Utilisation'!J61</f>
        <v>423.8</v>
      </c>
      <c r="F39" s="524"/>
      <c r="G39" s="525"/>
      <c r="H39" s="553"/>
    </row>
    <row r="40" spans="1:8" s="523" customFormat="1" ht="17.100000000000001" thickBot="1">
      <c r="A40" s="525"/>
      <c r="B40" s="1174" t="s">
        <v>72</v>
      </c>
      <c r="C40" s="547"/>
      <c r="D40" s="548">
        <f>'Receipts &amp; Utilisation'!J62</f>
        <v>201.25716666666668</v>
      </c>
      <c r="F40" s="524"/>
      <c r="G40" s="525"/>
      <c r="H40" s="553"/>
    </row>
    <row r="41" spans="1:8" s="523" customFormat="1" thickBot="1">
      <c r="A41" s="525"/>
      <c r="B41" s="1175" t="s">
        <v>73</v>
      </c>
      <c r="C41" s="541"/>
      <c r="D41" s="542">
        <f>SUM(D33:D40)</f>
        <v>30640.544804447512</v>
      </c>
      <c r="F41" s="524"/>
      <c r="G41" s="525"/>
      <c r="H41" s="553"/>
    </row>
    <row r="42" spans="1:8" s="523" customFormat="1" thickBot="1">
      <c r="A42" s="525"/>
      <c r="B42" s="540" t="s">
        <v>74</v>
      </c>
      <c r="C42" s="1176"/>
      <c r="D42" s="1177">
        <f>D41-D29</f>
        <v>10236.419918766453</v>
      </c>
      <c r="F42" s="524"/>
      <c r="G42" s="525"/>
      <c r="H42" s="553"/>
    </row>
    <row r="43" spans="1:8" s="523" customFormat="1" ht="15">
      <c r="A43" s="525"/>
      <c r="B43" s="526"/>
      <c r="C43" s="526"/>
      <c r="D43" s="1186"/>
      <c r="F43" s="524"/>
      <c r="G43" s="525"/>
      <c r="H43" s="553"/>
    </row>
    <row r="44" spans="1:8" s="523" customFormat="1" ht="15">
      <c r="A44" s="525"/>
      <c r="B44" s="526" t="s">
        <v>75</v>
      </c>
      <c r="C44" s="526"/>
      <c r="D44" s="1186"/>
      <c r="F44" s="524"/>
      <c r="G44" s="525"/>
      <c r="H44" s="553"/>
    </row>
    <row r="45" spans="1:8" s="523" customFormat="1" ht="18">
      <c r="A45" s="525"/>
      <c r="B45" s="1188" t="s">
        <v>76</v>
      </c>
      <c r="C45" s="526"/>
      <c r="D45" s="1186"/>
      <c r="F45" s="524"/>
      <c r="G45" s="525"/>
      <c r="H45" s="553"/>
    </row>
    <row r="46" spans="1:8" s="523" customFormat="1" ht="15">
      <c r="A46" s="525"/>
      <c r="B46" s="1189" t="s">
        <v>77</v>
      </c>
      <c r="C46" s="526"/>
      <c r="D46" s="1186"/>
      <c r="F46" s="524"/>
      <c r="G46" s="525"/>
      <c r="H46" s="553"/>
    </row>
    <row r="47" spans="1:8" s="523" customFormat="1" ht="15">
      <c r="A47" s="525"/>
      <c r="B47" s="1190" t="s">
        <v>78</v>
      </c>
      <c r="C47" s="526"/>
      <c r="D47" s="1186"/>
      <c r="F47" s="524"/>
      <c r="G47" s="525"/>
      <c r="H47" s="553"/>
    </row>
    <row r="48" spans="1:8" s="523" customFormat="1" ht="15">
      <c r="A48" s="1191"/>
      <c r="B48" s="1210" t="s">
        <v>79</v>
      </c>
      <c r="C48" s="1192"/>
      <c r="D48" s="1192"/>
      <c r="E48" s="1192"/>
      <c r="F48" s="1193"/>
      <c r="G48" s="525"/>
      <c r="H48" s="553"/>
    </row>
    <row r="49" spans="1:8" s="523" customFormat="1" ht="22.5">
      <c r="A49" s="1194"/>
      <c r="B49" s="1179" t="s">
        <v>80</v>
      </c>
      <c r="C49" s="1179" t="s">
        <v>81</v>
      </c>
      <c r="D49" s="1179" t="s">
        <v>82</v>
      </c>
      <c r="E49" s="1179" t="s">
        <v>83</v>
      </c>
      <c r="F49" s="1195" t="s">
        <v>84</v>
      </c>
      <c r="G49" s="525"/>
      <c r="H49" s="553"/>
    </row>
    <row r="50" spans="1:8" s="523" customFormat="1" ht="24">
      <c r="A50" s="1194"/>
      <c r="B50" s="1202" t="s">
        <v>85</v>
      </c>
      <c r="C50" s="1203" t="s">
        <v>86</v>
      </c>
      <c r="D50" s="1203" t="s">
        <v>87</v>
      </c>
      <c r="E50" s="1203" t="s">
        <v>88</v>
      </c>
      <c r="F50" s="1204" t="s">
        <v>89</v>
      </c>
      <c r="G50" s="525"/>
      <c r="H50" s="553"/>
    </row>
    <row r="51" spans="1:8" s="523" customFormat="1" ht="24">
      <c r="A51" s="1194"/>
      <c r="B51" s="1205" t="s">
        <v>90</v>
      </c>
      <c r="C51" s="1206" t="s">
        <v>91</v>
      </c>
      <c r="D51" s="1206" t="s">
        <v>92</v>
      </c>
      <c r="E51" s="1206" t="s">
        <v>93</v>
      </c>
      <c r="F51" s="1204" t="s">
        <v>94</v>
      </c>
      <c r="G51" s="525"/>
      <c r="H51" s="553"/>
    </row>
    <row r="52" spans="1:8" s="523" customFormat="1" ht="27" thickBot="1">
      <c r="A52" s="1194"/>
      <c r="B52" s="1205" t="s">
        <v>95</v>
      </c>
      <c r="C52" s="1206" t="s">
        <v>96</v>
      </c>
      <c r="D52" s="1206" t="s">
        <v>97</v>
      </c>
      <c r="E52" s="1206" t="s">
        <v>98</v>
      </c>
      <c r="F52" s="1204" t="s">
        <v>99</v>
      </c>
      <c r="G52" s="525"/>
      <c r="H52" s="553"/>
    </row>
    <row r="53" spans="1:8" s="523" customFormat="1" ht="27" thickBot="1">
      <c r="A53" s="1194"/>
      <c r="B53" s="1205" t="s">
        <v>100</v>
      </c>
      <c r="C53" s="1206" t="s">
        <v>101</v>
      </c>
      <c r="D53" s="1206" t="s">
        <v>102</v>
      </c>
      <c r="E53" s="1206" t="s">
        <v>103</v>
      </c>
      <c r="F53" s="1204" t="s">
        <v>104</v>
      </c>
      <c r="G53" s="525"/>
      <c r="H53" s="553"/>
    </row>
    <row r="54" spans="1:8" s="523" customFormat="1" thickBot="1">
      <c r="A54" s="1194"/>
      <c r="B54" s="1205" t="s">
        <v>105</v>
      </c>
      <c r="C54" s="1206" t="s">
        <v>106</v>
      </c>
      <c r="D54" s="1206" t="s">
        <v>107</v>
      </c>
      <c r="E54" s="1206" t="s">
        <v>108</v>
      </c>
      <c r="F54" s="1204" t="s">
        <v>109</v>
      </c>
      <c r="G54" s="525"/>
      <c r="H54" s="553"/>
    </row>
    <row r="55" spans="1:8" s="523" customFormat="1" ht="20.25" customHeight="1">
      <c r="A55" s="1194"/>
      <c r="B55" s="1210" t="s">
        <v>110</v>
      </c>
      <c r="C55" s="491"/>
      <c r="D55" s="491"/>
      <c r="E55" s="491"/>
      <c r="F55" s="1197"/>
      <c r="H55" s="553"/>
    </row>
    <row r="56" spans="1:8" s="523" customFormat="1" ht="27" thickBot="1">
      <c r="A56" s="1194"/>
      <c r="B56" s="1179" t="s">
        <v>80</v>
      </c>
      <c r="C56" s="1179" t="s">
        <v>81</v>
      </c>
      <c r="D56" s="1179" t="s">
        <v>82</v>
      </c>
      <c r="E56" s="1179" t="s">
        <v>83</v>
      </c>
      <c r="F56" s="1195" t="s">
        <v>84</v>
      </c>
      <c r="G56" s="525"/>
      <c r="H56" s="553"/>
    </row>
    <row r="57" spans="1:8" s="523" customFormat="1" ht="24">
      <c r="A57" s="1194"/>
      <c r="B57" s="1187" t="s">
        <v>111</v>
      </c>
      <c r="C57" s="1181" t="s">
        <v>112</v>
      </c>
      <c r="D57" s="1181" t="s">
        <v>113</v>
      </c>
      <c r="E57" s="1181" t="s">
        <v>114</v>
      </c>
      <c r="F57" s="1204" t="s">
        <v>89</v>
      </c>
      <c r="G57" s="525"/>
      <c r="H57" s="553"/>
    </row>
    <row r="58" spans="1:8" s="523" customFormat="1" ht="27" thickBot="1">
      <c r="A58" s="1194"/>
      <c r="B58" s="1187" t="s">
        <v>115</v>
      </c>
      <c r="C58" s="1181" t="s">
        <v>116</v>
      </c>
      <c r="D58" s="1181" t="s">
        <v>117</v>
      </c>
      <c r="E58" s="1181" t="s">
        <v>118</v>
      </c>
      <c r="F58" s="1196" t="s">
        <v>89</v>
      </c>
      <c r="G58" s="525"/>
      <c r="H58" s="553"/>
    </row>
    <row r="59" spans="1:8" s="523" customFormat="1" ht="27" thickBot="1">
      <c r="A59" s="1194"/>
      <c r="B59" s="1187" t="s">
        <v>119</v>
      </c>
      <c r="C59" s="1181" t="s">
        <v>120</v>
      </c>
      <c r="D59" s="1181" t="s">
        <v>121</v>
      </c>
      <c r="E59" s="1181" t="s">
        <v>122</v>
      </c>
      <c r="F59" s="1196" t="s">
        <v>123</v>
      </c>
      <c r="G59" s="525"/>
      <c r="H59" s="553"/>
    </row>
    <row r="60" spans="1:8" s="523" customFormat="1" ht="27" thickBot="1">
      <c r="A60" s="1194"/>
      <c r="B60" s="1187" t="s">
        <v>124</v>
      </c>
      <c r="C60" s="1181" t="s">
        <v>125</v>
      </c>
      <c r="D60" s="1181" t="s">
        <v>126</v>
      </c>
      <c r="E60" s="1181" t="s">
        <v>127</v>
      </c>
      <c r="F60" s="1196" t="s">
        <v>128</v>
      </c>
      <c r="G60" s="525"/>
      <c r="H60" s="553"/>
    </row>
    <row r="61" spans="1:8" s="523" customFormat="1" ht="27" thickBot="1">
      <c r="A61" s="1194"/>
      <c r="B61" s="1187" t="s">
        <v>129</v>
      </c>
      <c r="C61" s="1181" t="s">
        <v>130</v>
      </c>
      <c r="D61" s="1181" t="s">
        <v>131</v>
      </c>
      <c r="E61" s="1181" t="s">
        <v>132</v>
      </c>
      <c r="F61" s="1196" t="s">
        <v>133</v>
      </c>
      <c r="G61" s="525"/>
      <c r="H61" s="553"/>
    </row>
    <row r="62" spans="1:8" s="523" customFormat="1" ht="25.5" customHeight="1">
      <c r="A62" s="1194"/>
      <c r="B62" s="1210" t="s">
        <v>134</v>
      </c>
      <c r="C62" s="491"/>
      <c r="D62" s="491"/>
      <c r="E62" s="491"/>
      <c r="F62" s="1197"/>
      <c r="H62" s="553"/>
    </row>
    <row r="63" spans="1:8" s="523" customFormat="1" ht="27" thickBot="1">
      <c r="A63" s="1194"/>
      <c r="B63" s="1179" t="s">
        <v>80</v>
      </c>
      <c r="C63" s="1179" t="s">
        <v>81</v>
      </c>
      <c r="D63" s="1179" t="s">
        <v>82</v>
      </c>
      <c r="E63" s="1179" t="s">
        <v>83</v>
      </c>
      <c r="F63" s="1195" t="s">
        <v>84</v>
      </c>
      <c r="G63" s="525"/>
      <c r="H63" s="553"/>
    </row>
    <row r="64" spans="1:8" s="523" customFormat="1" ht="24">
      <c r="A64" s="1194"/>
      <c r="B64" s="1187"/>
      <c r="C64" s="1181" t="s">
        <v>135</v>
      </c>
      <c r="D64" s="1181" t="s">
        <v>136</v>
      </c>
      <c r="E64" s="1181" t="s">
        <v>137</v>
      </c>
      <c r="F64" s="1196" t="s">
        <v>138</v>
      </c>
      <c r="G64" s="525"/>
      <c r="H64" s="553"/>
    </row>
    <row r="65" spans="1:8" s="523" customFormat="1" ht="24">
      <c r="A65" s="1194"/>
      <c r="B65" s="1187" t="s">
        <v>139</v>
      </c>
      <c r="C65" s="1181" t="s">
        <v>140</v>
      </c>
      <c r="D65" s="1181" t="s">
        <v>141</v>
      </c>
      <c r="E65" s="1181" t="s">
        <v>142</v>
      </c>
      <c r="F65" s="1196" t="s">
        <v>143</v>
      </c>
      <c r="G65" s="525"/>
      <c r="H65" s="553"/>
    </row>
    <row r="66" spans="1:8" s="523" customFormat="1" ht="24">
      <c r="A66" s="1194"/>
      <c r="B66" s="1187" t="s">
        <v>144</v>
      </c>
      <c r="C66" s="1181" t="s">
        <v>145</v>
      </c>
      <c r="D66" s="1181" t="s">
        <v>146</v>
      </c>
      <c r="E66" s="1181" t="s">
        <v>147</v>
      </c>
      <c r="F66" s="1196" t="s">
        <v>138</v>
      </c>
      <c r="G66" s="525"/>
      <c r="H66" s="553"/>
    </row>
    <row r="67" spans="1:8" s="523" customFormat="1" ht="24">
      <c r="A67" s="1194"/>
      <c r="B67" s="1187" t="s">
        <v>148</v>
      </c>
      <c r="C67" s="1207">
        <v>0.185</v>
      </c>
      <c r="D67" s="1207">
        <v>0.26500000000000001</v>
      </c>
      <c r="E67" s="1208" t="s">
        <v>149</v>
      </c>
      <c r="F67" s="1209" t="s">
        <v>150</v>
      </c>
      <c r="G67" s="525"/>
      <c r="H67" s="553"/>
    </row>
    <row r="68" spans="1:8" s="523" customFormat="1" ht="22.5">
      <c r="A68" s="1194"/>
      <c r="B68" s="1187" t="s">
        <v>151</v>
      </c>
      <c r="C68" s="1181" t="s">
        <v>152</v>
      </c>
      <c r="D68" s="1181" t="s">
        <v>153</v>
      </c>
      <c r="E68" s="1181" t="s">
        <v>154</v>
      </c>
      <c r="F68" s="1196" t="s">
        <v>155</v>
      </c>
      <c r="G68" s="525"/>
      <c r="H68" s="553"/>
    </row>
    <row r="69" spans="1:8" s="523" customFormat="1" ht="15">
      <c r="A69" s="1194"/>
      <c r="B69" s="1210" t="s">
        <v>156</v>
      </c>
      <c r="C69" s="491"/>
      <c r="D69" s="491"/>
      <c r="E69" s="491"/>
      <c r="F69" s="1197"/>
      <c r="G69" s="525"/>
      <c r="H69" s="553"/>
    </row>
    <row r="70" spans="1:8" s="523" customFormat="1" ht="27" thickBot="1">
      <c r="A70" s="1194"/>
      <c r="B70" s="1178" t="s">
        <v>80</v>
      </c>
      <c r="C70" s="1179" t="s">
        <v>81</v>
      </c>
      <c r="D70" s="1179" t="s">
        <v>82</v>
      </c>
      <c r="E70" s="1179" t="s">
        <v>83</v>
      </c>
      <c r="F70" s="1195" t="s">
        <v>84</v>
      </c>
      <c r="G70" s="525"/>
      <c r="H70" s="553"/>
    </row>
    <row r="71" spans="1:8" s="523" customFormat="1" ht="27" thickBot="1">
      <c r="A71" s="1194"/>
      <c r="B71" s="1180" t="s">
        <v>157</v>
      </c>
      <c r="C71" s="1182">
        <v>0.22409999999999999</v>
      </c>
      <c r="D71" s="1181" t="s">
        <v>158</v>
      </c>
      <c r="E71" s="1181" t="s">
        <v>159</v>
      </c>
      <c r="F71" s="1196" t="s">
        <v>160</v>
      </c>
      <c r="G71" s="525"/>
      <c r="H71" s="553"/>
    </row>
    <row r="72" spans="1:8" s="523" customFormat="1" thickBot="1">
      <c r="A72" s="1194"/>
      <c r="B72" s="1180" t="s">
        <v>161</v>
      </c>
      <c r="C72" s="1182">
        <v>0.2482</v>
      </c>
      <c r="D72" s="1182">
        <v>0.17519999999999999</v>
      </c>
      <c r="E72" s="1181" t="s">
        <v>162</v>
      </c>
      <c r="F72" s="1196" t="s">
        <v>163</v>
      </c>
      <c r="G72" s="525"/>
      <c r="H72" s="553"/>
    </row>
    <row r="73" spans="1:8" s="523" customFormat="1" ht="53.1" thickBot="1">
      <c r="A73" s="1194"/>
      <c r="B73" s="1180" t="s">
        <v>164</v>
      </c>
      <c r="C73" s="1181" t="s">
        <v>165</v>
      </c>
      <c r="D73" s="1181" t="s">
        <v>166</v>
      </c>
      <c r="E73" s="1181" t="s">
        <v>167</v>
      </c>
      <c r="F73" s="1196" t="s">
        <v>168</v>
      </c>
      <c r="G73" s="525"/>
      <c r="H73" s="553"/>
    </row>
    <row r="74" spans="1:8" s="523" customFormat="1" ht="27" thickBot="1">
      <c r="A74" s="1194"/>
      <c r="B74" s="1180" t="s">
        <v>169</v>
      </c>
      <c r="C74" s="1183">
        <v>30000</v>
      </c>
      <c r="D74" s="1183">
        <v>70000</v>
      </c>
      <c r="E74" s="1181" t="s">
        <v>170</v>
      </c>
      <c r="F74" s="1196" t="s">
        <v>171</v>
      </c>
      <c r="G74" s="525"/>
      <c r="H74" s="553"/>
    </row>
    <row r="75" spans="1:8" s="523" customFormat="1" ht="27" thickBot="1">
      <c r="A75" s="1194"/>
      <c r="B75" s="1180" t="s">
        <v>172</v>
      </c>
      <c r="C75" s="1181" t="s">
        <v>173</v>
      </c>
      <c r="D75" s="1181" t="s">
        <v>174</v>
      </c>
      <c r="E75" s="1181" t="s">
        <v>175</v>
      </c>
      <c r="F75" s="1196" t="s">
        <v>176</v>
      </c>
      <c r="G75" s="525"/>
      <c r="H75" s="553"/>
    </row>
    <row r="76" spans="1:8" s="523" customFormat="1" ht="15">
      <c r="A76" s="1194"/>
      <c r="B76" s="1210" t="s">
        <v>177</v>
      </c>
      <c r="C76" s="491"/>
      <c r="D76" s="491"/>
      <c r="E76" s="491"/>
      <c r="F76" s="1197"/>
      <c r="G76" s="525"/>
      <c r="H76" s="553"/>
    </row>
    <row r="77" spans="1:8" s="523" customFormat="1" ht="27" thickBot="1">
      <c r="A77" s="1194"/>
      <c r="B77" s="1178" t="s">
        <v>80</v>
      </c>
      <c r="C77" s="1179" t="s">
        <v>81</v>
      </c>
      <c r="D77" s="1179" t="s">
        <v>82</v>
      </c>
      <c r="E77" s="1179" t="s">
        <v>83</v>
      </c>
      <c r="F77" s="1195" t="s">
        <v>84</v>
      </c>
      <c r="G77" s="525"/>
      <c r="H77" s="553"/>
    </row>
    <row r="78" spans="1:8" s="523" customFormat="1" ht="27" thickBot="1">
      <c r="A78" s="1194"/>
      <c r="B78" s="1180" t="s">
        <v>178</v>
      </c>
      <c r="C78" s="1181" t="s">
        <v>179</v>
      </c>
      <c r="D78" s="1181" t="s">
        <v>180</v>
      </c>
      <c r="E78" s="1181" t="s">
        <v>181</v>
      </c>
      <c r="F78" s="1196" t="s">
        <v>182</v>
      </c>
      <c r="G78" s="525"/>
      <c r="H78" s="553"/>
    </row>
    <row r="79" spans="1:8" s="523" customFormat="1" ht="27" thickBot="1">
      <c r="A79" s="1194"/>
      <c r="B79" s="1180" t="s">
        <v>183</v>
      </c>
      <c r="C79" s="1181" t="s">
        <v>184</v>
      </c>
      <c r="D79" s="1181" t="s">
        <v>185</v>
      </c>
      <c r="E79" s="1181" t="s">
        <v>186</v>
      </c>
      <c r="F79" s="1196" t="s">
        <v>187</v>
      </c>
      <c r="G79" s="525"/>
      <c r="H79" s="553"/>
    </row>
    <row r="80" spans="1:8" s="523" customFormat="1" thickBot="1">
      <c r="A80" s="1194"/>
      <c r="B80" s="1180" t="s">
        <v>188</v>
      </c>
      <c r="C80" s="1181" t="s">
        <v>189</v>
      </c>
      <c r="D80" s="1181" t="s">
        <v>190</v>
      </c>
      <c r="E80" s="1181" t="s">
        <v>191</v>
      </c>
      <c r="F80" s="1196" t="s">
        <v>192</v>
      </c>
      <c r="G80" s="525"/>
      <c r="H80" s="553"/>
    </row>
    <row r="81" spans="1:8" s="523" customFormat="1" thickBot="1">
      <c r="A81" s="1194"/>
      <c r="B81" s="1180" t="s">
        <v>193</v>
      </c>
      <c r="C81" s="1181" t="s">
        <v>194</v>
      </c>
      <c r="D81" s="1181" t="s">
        <v>195</v>
      </c>
      <c r="E81" s="1181" t="s">
        <v>196</v>
      </c>
      <c r="F81" s="1196" t="s">
        <v>182</v>
      </c>
      <c r="G81" s="525"/>
      <c r="H81" s="553"/>
    </row>
    <row r="82" spans="1:8" s="523" customFormat="1" thickBot="1">
      <c r="A82" s="1198"/>
      <c r="B82" s="1199" t="s">
        <v>197</v>
      </c>
      <c r="C82" s="1200" t="s">
        <v>198</v>
      </c>
      <c r="D82" s="1200" t="s">
        <v>199</v>
      </c>
      <c r="E82" s="1200" t="s">
        <v>200</v>
      </c>
      <c r="F82" s="1201" t="s">
        <v>182</v>
      </c>
      <c r="G82" s="525"/>
      <c r="H82" s="553"/>
    </row>
    <row r="83" spans="1:8" s="523" customFormat="1" ht="15">
      <c r="A83" s="525"/>
      <c r="B83" s="1184"/>
      <c r="C83" s="1185"/>
      <c r="D83" s="1185"/>
      <c r="E83" s="1185"/>
      <c r="F83" s="1185"/>
      <c r="G83" s="525"/>
      <c r="H83" s="553"/>
    </row>
    <row r="84" spans="1:8" s="523" customFormat="1" ht="15">
      <c r="A84" s="525"/>
      <c r="B84" s="1184"/>
      <c r="C84" s="1185"/>
      <c r="D84" s="1185"/>
      <c r="E84" s="1185"/>
      <c r="F84" s="1185"/>
      <c r="G84" s="525"/>
      <c r="H84" s="553"/>
    </row>
    <row r="85" spans="1:8" s="523" customFormat="1" ht="15">
      <c r="A85" s="525"/>
      <c r="B85" s="1184"/>
      <c r="C85" s="1185"/>
      <c r="D85" s="1185"/>
      <c r="E85" s="1185"/>
      <c r="F85" s="1185"/>
      <c r="G85" s="525"/>
      <c r="H85" s="553"/>
    </row>
    <row r="86" spans="1:8" s="523" customFormat="1" ht="15">
      <c r="A86" s="525"/>
      <c r="B86" s="1184"/>
      <c r="C86" s="1185"/>
      <c r="D86" s="1185"/>
      <c r="E86" s="1185"/>
      <c r="F86" s="1185"/>
      <c r="G86" s="525"/>
      <c r="H86" s="553"/>
    </row>
    <row r="87" spans="1:8" s="523" customFormat="1" ht="15">
      <c r="F87" s="524"/>
      <c r="G87" s="525"/>
      <c r="H87" s="553"/>
    </row>
    <row r="88" spans="1:8" s="523" customFormat="1" ht="15">
      <c r="F88" s="524"/>
      <c r="G88" s="525"/>
      <c r="H88" s="522"/>
    </row>
    <row r="89" spans="1:8" s="523" customFormat="1" ht="15">
      <c r="F89" s="524"/>
      <c r="G89" s="525"/>
      <c r="H89" s="522"/>
    </row>
    <row r="90" spans="1:8" s="523" customFormat="1" ht="15">
      <c r="F90" s="524"/>
      <c r="G90" s="525"/>
      <c r="H90" s="522"/>
    </row>
    <row r="91" spans="1:8" s="523" customFormat="1" ht="15">
      <c r="F91" s="524"/>
      <c r="G91" s="525"/>
      <c r="H91" s="522"/>
    </row>
    <row r="92" spans="1:8" s="523" customFormat="1" ht="15">
      <c r="F92" s="563"/>
      <c r="G92" s="564"/>
      <c r="H92" s="522"/>
    </row>
    <row r="93" spans="1:8" s="523" customFormat="1" ht="15">
      <c r="F93" s="524"/>
      <c r="G93" s="564"/>
      <c r="H93" s="522"/>
    </row>
    <row r="94" spans="1:8" s="523" customFormat="1" ht="15">
      <c r="E94" s="562"/>
      <c r="F94" s="524"/>
      <c r="G94" s="564"/>
      <c r="H94" s="522"/>
    </row>
    <row r="95" spans="1:8" s="523" customFormat="1" ht="15">
      <c r="F95" s="524"/>
      <c r="G95" s="564"/>
      <c r="H95" s="522"/>
    </row>
    <row r="96" spans="1:8" s="523" customFormat="1" ht="15">
      <c r="F96" s="524"/>
      <c r="G96" s="564"/>
      <c r="H96" s="522"/>
    </row>
    <row r="97" spans="1:19" s="523" customFormat="1" ht="15">
      <c r="A97" s="564"/>
      <c r="C97" s="525"/>
      <c r="D97" s="522"/>
      <c r="F97" s="524"/>
      <c r="G97" s="564"/>
      <c r="H97" s="522"/>
      <c r="J97" s="563"/>
      <c r="S97" s="565"/>
    </row>
    <row r="98" spans="1:19" s="523" customFormat="1" ht="15">
      <c r="A98" s="581"/>
      <c r="B98" s="565"/>
      <c r="C98" s="566"/>
      <c r="D98" s="567"/>
      <c r="E98" s="565"/>
      <c r="F98" s="568"/>
      <c r="G98" s="566"/>
      <c r="H98" s="522"/>
      <c r="J98" s="562"/>
      <c r="S98" s="562"/>
    </row>
    <row r="99" spans="1:19" s="523" customFormat="1" ht="15">
      <c r="A99" s="525"/>
      <c r="C99" s="525"/>
      <c r="D99" s="522"/>
      <c r="F99" s="524"/>
      <c r="G99" s="525"/>
      <c r="H99" s="522"/>
      <c r="I99" s="526"/>
    </row>
    <row r="100" spans="1:19" s="523" customFormat="1" ht="15">
      <c r="A100" s="564"/>
      <c r="B100" s="562"/>
      <c r="C100" s="564"/>
      <c r="D100" s="569"/>
      <c r="E100" s="562"/>
      <c r="F100" s="563"/>
      <c r="G100" s="564"/>
      <c r="H100" s="522"/>
    </row>
    <row r="101" spans="1:19">
      <c r="D101" s="515"/>
      <c r="G101" s="512"/>
      <c r="H101" s="513"/>
    </row>
    <row r="102" spans="1:19">
      <c r="D102" s="515"/>
      <c r="E102" s="516"/>
      <c r="G102" s="512"/>
      <c r="H102" s="513"/>
    </row>
    <row r="103" spans="1:19">
      <c r="D103" s="515"/>
      <c r="E103" s="516"/>
      <c r="G103" s="512"/>
      <c r="H103" s="513"/>
    </row>
    <row r="104" spans="1:19">
      <c r="G104" s="512"/>
      <c r="H104" s="513"/>
    </row>
    <row r="105" spans="1:19">
      <c r="A105" s="512"/>
      <c r="B105" s="511"/>
      <c r="C105" s="512"/>
      <c r="D105" s="513"/>
      <c r="E105" s="511"/>
      <c r="F105" s="514"/>
      <c r="G105" s="512"/>
      <c r="H105" s="513"/>
    </row>
    <row r="106" spans="1:19">
      <c r="H106" s="513"/>
    </row>
    <row r="107" spans="1:19">
      <c r="H107" s="513"/>
    </row>
    <row r="108" spans="1:19">
      <c r="A108" s="512"/>
      <c r="B108" s="511"/>
      <c r="C108" s="512"/>
      <c r="D108" s="513"/>
      <c r="E108" s="511"/>
      <c r="F108" s="514"/>
      <c r="G108" s="512"/>
      <c r="H108" s="513"/>
    </row>
    <row r="109" spans="1:19">
      <c r="A109" s="512"/>
      <c r="B109" s="511"/>
      <c r="C109" s="512"/>
      <c r="D109" s="513"/>
      <c r="G109" s="512"/>
    </row>
    <row r="110" spans="1:19">
      <c r="A110" s="512"/>
      <c r="B110" s="517"/>
      <c r="C110" s="518"/>
      <c r="D110" s="515"/>
      <c r="G110" s="512"/>
    </row>
    <row r="111" spans="1:19">
      <c r="A111" s="512"/>
      <c r="B111" s="517"/>
      <c r="C111" s="518"/>
      <c r="D111" s="515"/>
      <c r="G111" s="512"/>
    </row>
    <row r="112" spans="1:19">
      <c r="A112" s="512"/>
      <c r="B112" s="517"/>
      <c r="C112" s="518"/>
      <c r="D112" s="515"/>
      <c r="G112" s="512"/>
    </row>
    <row r="113" spans="1:7">
      <c r="A113" s="512"/>
      <c r="B113" s="517"/>
      <c r="C113" s="518"/>
      <c r="D113" s="515"/>
      <c r="G113" s="512"/>
    </row>
    <row r="114" spans="1:7">
      <c r="A114" s="512"/>
      <c r="B114" s="517"/>
      <c r="C114" s="518"/>
      <c r="D114" s="515"/>
      <c r="G114" s="512"/>
    </row>
    <row r="115" spans="1:7">
      <c r="D115" s="513"/>
      <c r="G115" s="512"/>
    </row>
    <row r="116" spans="1:7">
      <c r="B116" s="511"/>
      <c r="C116" s="512"/>
      <c r="D116" s="513"/>
      <c r="G116" s="512"/>
    </row>
    <row r="117" spans="1:7">
      <c r="B117" s="511"/>
      <c r="C117" s="512"/>
      <c r="D117" s="513"/>
      <c r="G117" s="512"/>
    </row>
    <row r="118" spans="1:7">
      <c r="B118" s="511"/>
      <c r="C118" s="512"/>
      <c r="D118" s="513"/>
      <c r="G118" s="512"/>
    </row>
    <row r="119" spans="1:7">
      <c r="A119" s="512"/>
      <c r="B119" s="511"/>
      <c r="C119" s="512"/>
      <c r="D119" s="513"/>
      <c r="E119" s="511"/>
      <c r="F119" s="514"/>
      <c r="G119" s="512"/>
    </row>
  </sheetData>
  <pageMargins left="0.7" right="0.7" top="0.75" bottom="0.75" header="0.3" footer="0.3"/>
  <pageSetup paperSize="0" scale="0" orientation="landscape" horizontalDpi="2746266176" verticalDpi="12" copies="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1AACC-ECEC-8B4E-93FB-2E011776D92C}">
  <sheetPr>
    <tabColor theme="7"/>
    <outlinePr summaryBelow="0" summaryRight="0"/>
  </sheetPr>
  <dimension ref="A1:U116"/>
  <sheetViews>
    <sheetView tabSelected="1" topLeftCell="A15" zoomScale="120" zoomScaleNormal="120" workbookViewId="0">
      <selection activeCell="C1" sqref="C1"/>
    </sheetView>
  </sheetViews>
  <sheetFormatPr defaultColWidth="12.7109375" defaultRowHeight="15.75" customHeight="1"/>
  <cols>
    <col min="1" max="1" width="2.85546875" customWidth="1"/>
    <col min="2" max="2" width="19.85546875" customWidth="1"/>
    <col min="3" max="3" width="50.7109375" customWidth="1"/>
    <col min="4" max="4" width="6.42578125" customWidth="1"/>
    <col min="5" max="5" width="15.28515625" customWidth="1"/>
    <col min="6" max="6" width="23.28515625" customWidth="1"/>
    <col min="7" max="7" width="15.42578125" customWidth="1"/>
    <col min="8" max="8" width="21.85546875" customWidth="1"/>
    <col min="9" max="9" width="17" customWidth="1"/>
    <col min="10" max="10" width="20.140625" customWidth="1"/>
    <col min="11" max="11" width="10.85546875" customWidth="1"/>
    <col min="12" max="12" width="11.140625" customWidth="1"/>
    <col min="13" max="13" width="13.28515625" customWidth="1"/>
    <col min="14" max="14" width="10.28515625" customWidth="1"/>
  </cols>
  <sheetData>
    <row r="1" spans="2:11" ht="15.95">
      <c r="B1" s="226" t="s">
        <v>201</v>
      </c>
    </row>
    <row r="2" spans="2:11" ht="15.75" customHeight="1">
      <c r="B2" s="505" t="s">
        <v>202</v>
      </c>
    </row>
    <row r="3" spans="2:11" ht="15.75" customHeight="1">
      <c r="B3" s="227" t="s">
        <v>41</v>
      </c>
      <c r="C3" s="197"/>
      <c r="D3" s="197"/>
      <c r="E3" s="228" t="s">
        <v>16</v>
      </c>
      <c r="F3" s="198" t="s">
        <v>203</v>
      </c>
      <c r="G3" s="198">
        <v>2023</v>
      </c>
      <c r="H3" s="198">
        <v>2024</v>
      </c>
      <c r="I3" s="198">
        <v>2025</v>
      </c>
      <c r="J3" s="198" t="s">
        <v>204</v>
      </c>
    </row>
    <row r="4" spans="2:11" ht="15.75" customHeight="1">
      <c r="B4" s="197" t="s">
        <v>205</v>
      </c>
      <c r="C4" s="197"/>
      <c r="D4" s="197"/>
      <c r="E4" s="229"/>
      <c r="F4" s="230" t="s">
        <v>206</v>
      </c>
      <c r="G4" s="230" t="s">
        <v>207</v>
      </c>
      <c r="H4" s="230" t="s">
        <v>208</v>
      </c>
      <c r="I4" s="230" t="s">
        <v>208</v>
      </c>
      <c r="J4" s="230" t="s">
        <v>209</v>
      </c>
    </row>
    <row r="5" spans="2:11" ht="15.75" customHeight="1">
      <c r="B5" s="197"/>
      <c r="C5" s="197"/>
      <c r="D5" s="197"/>
      <c r="E5" s="229"/>
      <c r="F5" s="230" t="s">
        <v>210</v>
      </c>
      <c r="G5" s="230" t="s">
        <v>210</v>
      </c>
      <c r="H5" s="230" t="s">
        <v>210</v>
      </c>
      <c r="I5" s="230" t="s">
        <v>210</v>
      </c>
      <c r="J5" s="230" t="s">
        <v>210</v>
      </c>
    </row>
    <row r="6" spans="2:11" ht="15.75" customHeight="1">
      <c r="B6" s="195" t="s">
        <v>211</v>
      </c>
      <c r="C6" s="178"/>
      <c r="D6" s="178"/>
      <c r="E6" s="596" t="s">
        <v>212</v>
      </c>
      <c r="F6" s="489">
        <f>SUM(FAAC!E11:E17)+SUM(FAAC!E26:E30)</f>
        <v>9511.9609999999993</v>
      </c>
      <c r="G6" s="177">
        <f>SUM(FAAC!E31:E37)</f>
        <v>6843.1460000000006</v>
      </c>
      <c r="H6" s="177">
        <f>FAAC!E58</f>
        <v>15259.004000000001</v>
      </c>
      <c r="I6" s="177">
        <f>FAAC!E78</f>
        <v>21897.289000000004</v>
      </c>
      <c r="J6" s="177">
        <f>SUM(G6:I6)</f>
        <v>43999.439000000006</v>
      </c>
      <c r="K6" s="231"/>
    </row>
    <row r="7" spans="2:11" ht="15.75" customHeight="1">
      <c r="B7" s="195" t="s">
        <v>213</v>
      </c>
      <c r="C7" s="178"/>
      <c r="D7" s="207">
        <v>0.08</v>
      </c>
      <c r="E7" s="596" t="s">
        <v>214</v>
      </c>
      <c r="F7" s="489">
        <f>F6</f>
        <v>9511.9609999999993</v>
      </c>
      <c r="G7" s="179">
        <f>(F7/12*7)*(100%+(D7/12*7))</f>
        <v>5807.5806327777782</v>
      </c>
      <c r="H7" s="179">
        <f>(G7/7*12)*(1+D7)</f>
        <v>10752.320714400003</v>
      </c>
      <c r="I7" s="179">
        <f>H7*(1+D7)</f>
        <v>11612.506371552003</v>
      </c>
      <c r="J7" s="177">
        <f>SUM(G7:I7)</f>
        <v>28172.407718729781</v>
      </c>
      <c r="K7" s="231"/>
    </row>
    <row r="8" spans="2:11" ht="15.75" customHeight="1">
      <c r="B8" s="232" t="s">
        <v>215</v>
      </c>
      <c r="C8" s="203"/>
      <c r="D8" s="203"/>
      <c r="E8" s="208"/>
      <c r="F8" s="204">
        <f>F6-F7</f>
        <v>0</v>
      </c>
      <c r="G8" s="204">
        <f>G6-G7</f>
        <v>1035.5653672222224</v>
      </c>
      <c r="H8" s="204">
        <f>H6-H7</f>
        <v>4506.6832855999983</v>
      </c>
      <c r="I8" s="204">
        <f>I6-I7</f>
        <v>10284.782628448002</v>
      </c>
      <c r="J8" s="204">
        <f>J6-J7</f>
        <v>15827.031281270225</v>
      </c>
      <c r="K8" s="231"/>
    </row>
    <row r="9" spans="2:11" ht="15.75" customHeight="1">
      <c r="B9" s="597" t="s">
        <v>216</v>
      </c>
      <c r="C9" s="178"/>
      <c r="D9" s="178"/>
      <c r="E9" s="201"/>
      <c r="F9" s="233"/>
      <c r="G9" s="178"/>
      <c r="H9" s="178"/>
      <c r="I9" s="178"/>
      <c r="J9" s="178"/>
    </row>
    <row r="10" spans="2:11" ht="15.75" customHeight="1">
      <c r="B10" s="195" t="s">
        <v>217</v>
      </c>
      <c r="C10" s="234" t="s">
        <v>218</v>
      </c>
      <c r="D10" s="235"/>
      <c r="E10" s="214" t="s">
        <v>212</v>
      </c>
      <c r="F10" s="215">
        <v>0</v>
      </c>
      <c r="G10" s="215">
        <f>FAAC!F39*'Receipts &amp; Utilisation'!G8</f>
        <v>357.96369696123537</v>
      </c>
      <c r="H10" s="215">
        <f>FAAC!F59*'Receipts &amp; Utilisation'!H8</f>
        <v>1349.8266788563933</v>
      </c>
      <c r="I10" s="215">
        <f>FAAC!F79*'Receipts &amp; Utilisation'!I8</f>
        <v>3299.1820302547271</v>
      </c>
      <c r="J10" s="215">
        <f>SUM(F10:I10)</f>
        <v>5006.9724060723556</v>
      </c>
      <c r="K10" s="231"/>
    </row>
    <row r="11" spans="2:11" ht="15.75" customHeight="1">
      <c r="B11" s="178"/>
      <c r="C11" s="195" t="s">
        <v>21</v>
      </c>
      <c r="D11" s="209"/>
      <c r="E11" s="596" t="s">
        <v>212</v>
      </c>
      <c r="F11" s="233">
        <v>0</v>
      </c>
      <c r="G11" s="177">
        <f>FAAC!G39*'Receipts &amp; Utilisation'!G8</f>
        <v>399.0309075463631</v>
      </c>
      <c r="H11" s="177">
        <f>FAAC!G59*'Receipts &amp; Utilisation'!H8</f>
        <v>1929.6195965701504</v>
      </c>
      <c r="I11" s="177">
        <f>FAAC!G79*'Receipts &amp; Utilisation'!I8</f>
        <v>4196.1094705072583</v>
      </c>
      <c r="J11" s="177">
        <f>SUM(F11:I11)</f>
        <v>6524.759974623772</v>
      </c>
      <c r="K11" s="231"/>
    </row>
    <row r="12" spans="2:11" ht="15.75" customHeight="1">
      <c r="B12" s="178"/>
      <c r="C12" s="236" t="s">
        <v>219</v>
      </c>
      <c r="D12" s="207"/>
      <c r="E12" s="596" t="s">
        <v>212</v>
      </c>
      <c r="F12" s="233">
        <v>0</v>
      </c>
      <c r="G12" s="177">
        <f>FAAC!H39*'Receipts &amp; Utilisation'!G8</f>
        <v>248.39110888076365</v>
      </c>
      <c r="H12" s="177">
        <f>FAAC!H59*'Receipts &amp; Utilisation'!H8</f>
        <v>1114.7523482598369</v>
      </c>
      <c r="I12" s="177">
        <f>FAAC!H79*'Receipts &amp; Utilisation'!I8</f>
        <v>2513.0550923583082</v>
      </c>
      <c r="J12" s="177">
        <f>SUM(F12:I12)</f>
        <v>3876.1985494989085</v>
      </c>
      <c r="K12" s="231"/>
    </row>
    <row r="13" spans="2:11" ht="15.75" customHeight="1">
      <c r="B13" s="178"/>
      <c r="C13" s="236" t="s">
        <v>220</v>
      </c>
      <c r="D13" s="207"/>
      <c r="E13" s="596" t="s">
        <v>212</v>
      </c>
      <c r="F13" s="233">
        <v>0</v>
      </c>
      <c r="G13" s="177">
        <f>G8-G10-G11-G12</f>
        <v>30.179653833860272</v>
      </c>
      <c r="H13" s="177">
        <f>H8-H10-H11-H12</f>
        <v>112.48466191361763</v>
      </c>
      <c r="I13" s="177">
        <f>I8-I10-I11-I12</f>
        <v>276.43603532770749</v>
      </c>
      <c r="J13" s="177">
        <f>J8-J10-J11-J12</f>
        <v>419.10035107518797</v>
      </c>
      <c r="K13" s="231"/>
    </row>
    <row r="14" spans="2:11" ht="15.75" customHeight="1">
      <c r="B14" s="178"/>
      <c r="C14" s="202" t="s">
        <v>221</v>
      </c>
      <c r="D14" s="202"/>
      <c r="E14" s="205"/>
      <c r="F14" s="196">
        <f>SUM(F10:F12)</f>
        <v>0</v>
      </c>
      <c r="G14" s="196">
        <f>SUM(G10:G13)</f>
        <v>1035.5653672222224</v>
      </c>
      <c r="H14" s="196">
        <f>SUM(H10:H13)</f>
        <v>4506.6832855999983</v>
      </c>
      <c r="I14" s="196">
        <f>SUM(I10:I13)</f>
        <v>10284.782628448002</v>
      </c>
      <c r="J14" s="196">
        <f>SUM(J10:J13)</f>
        <v>15827.031281270225</v>
      </c>
    </row>
    <row r="15" spans="2:11" ht="15.75" customHeight="1">
      <c r="C15" s="174"/>
      <c r="D15" s="174"/>
      <c r="E15" s="608"/>
      <c r="F15" s="609"/>
      <c r="G15" s="609"/>
      <c r="H15" s="609"/>
      <c r="I15" s="609"/>
      <c r="J15" s="609"/>
    </row>
    <row r="16" spans="2:11" ht="15.75" customHeight="1">
      <c r="B16" s="226" t="s">
        <v>222</v>
      </c>
      <c r="C16" s="174"/>
      <c r="D16" s="174"/>
      <c r="E16" s="608"/>
      <c r="F16" s="609"/>
      <c r="G16" s="609"/>
      <c r="H16" s="609"/>
      <c r="I16" s="609"/>
      <c r="J16" s="609"/>
    </row>
    <row r="17" spans="2:11" ht="15.75" customHeight="1">
      <c r="B17" s="505" t="s">
        <v>223</v>
      </c>
      <c r="C17" s="174"/>
      <c r="D17" s="174"/>
      <c r="E17" s="608"/>
      <c r="F17" s="609"/>
      <c r="G17" s="609"/>
      <c r="H17" s="609"/>
      <c r="I17" s="609"/>
      <c r="J17" s="609"/>
    </row>
    <row r="18" spans="2:11" ht="15.75" customHeight="1">
      <c r="B18" s="227" t="s">
        <v>41</v>
      </c>
      <c r="C18" s="197"/>
      <c r="D18" s="197"/>
      <c r="E18" s="228" t="s">
        <v>16</v>
      </c>
      <c r="F18" s="198" t="s">
        <v>203</v>
      </c>
      <c r="G18" s="198">
        <v>2023</v>
      </c>
      <c r="H18" s="198">
        <v>2024</v>
      </c>
      <c r="I18" s="198">
        <v>2025</v>
      </c>
      <c r="J18" s="198" t="s">
        <v>204</v>
      </c>
    </row>
    <row r="19" spans="2:11" ht="15.75" customHeight="1">
      <c r="B19" s="197" t="s">
        <v>205</v>
      </c>
      <c r="C19" s="197"/>
      <c r="D19" s="197"/>
      <c r="E19" s="229"/>
      <c r="F19" s="632" t="s">
        <v>206</v>
      </c>
      <c r="G19" s="230" t="s">
        <v>207</v>
      </c>
      <c r="H19" s="230" t="s">
        <v>208</v>
      </c>
      <c r="I19" s="230" t="s">
        <v>208</v>
      </c>
      <c r="J19" s="230" t="s">
        <v>209</v>
      </c>
    </row>
    <row r="20" spans="2:11" ht="15.75" customHeight="1">
      <c r="B20" s="197"/>
      <c r="C20" s="197"/>
      <c r="D20" s="197"/>
      <c r="E20" s="229"/>
      <c r="F20" s="632" t="s">
        <v>210</v>
      </c>
      <c r="G20" s="230" t="s">
        <v>210</v>
      </c>
      <c r="H20" s="230" t="s">
        <v>210</v>
      </c>
      <c r="I20" s="230" t="s">
        <v>210</v>
      </c>
      <c r="J20" s="230" t="s">
        <v>210</v>
      </c>
    </row>
    <row r="21" spans="2:11" ht="15.75" customHeight="1">
      <c r="B21" s="195" t="s">
        <v>224</v>
      </c>
      <c r="C21" s="178"/>
      <c r="D21" s="178"/>
      <c r="E21" s="596"/>
      <c r="F21" s="633">
        <v>0</v>
      </c>
      <c r="G21" s="625">
        <v>0</v>
      </c>
      <c r="H21" s="625">
        <v>0</v>
      </c>
      <c r="I21" s="625">
        <v>0</v>
      </c>
      <c r="J21" s="625">
        <f>SUM(G21:I21)</f>
        <v>0</v>
      </c>
    </row>
    <row r="22" spans="2:11" ht="15.75" customHeight="1">
      <c r="B22" s="195" t="s">
        <v>225</v>
      </c>
      <c r="C22" s="178"/>
      <c r="D22" s="178"/>
      <c r="E22" s="596"/>
      <c r="F22" s="633">
        <f>(IGR!F7/1000000000)/12*5+(IGR!G6/1000000000)</f>
        <v>1452.8908486104151</v>
      </c>
      <c r="G22" s="625">
        <f>IGR!H9/1000000000</f>
        <v>-336.91430415624575</v>
      </c>
      <c r="H22" s="625">
        <f>IGR!I9/1000000000</f>
        <v>1551.4430014493241</v>
      </c>
      <c r="I22" s="625">
        <f>IGR!J9/1000000000</f>
        <v>1909.9818146960044</v>
      </c>
      <c r="J22" s="625">
        <f t="shared" ref="J22:J24" si="0">SUM(G22:I22)</f>
        <v>3124.5105119890832</v>
      </c>
    </row>
    <row r="23" spans="2:11" ht="15.75" customHeight="1">
      <c r="B23" s="195" t="s">
        <v>226</v>
      </c>
      <c r="C23" s="178"/>
      <c r="D23" s="178"/>
      <c r="E23" s="596"/>
      <c r="F23" s="633">
        <f>SUM(F21:F22)</f>
        <v>1452.8908486104151</v>
      </c>
      <c r="G23" s="624">
        <f>SUM(G21:G22)</f>
        <v>-336.91430415624575</v>
      </c>
      <c r="H23" s="624">
        <f>SUM(H21:H22)</f>
        <v>1551.4430014493241</v>
      </c>
      <c r="I23" s="624">
        <f>SUM(I21:I22)</f>
        <v>1909.9818146960044</v>
      </c>
      <c r="J23" s="625">
        <f t="shared" si="0"/>
        <v>3124.5105119890832</v>
      </c>
    </row>
    <row r="24" spans="2:11" ht="15.75" customHeight="1">
      <c r="B24" s="195" t="s">
        <v>227</v>
      </c>
      <c r="C24" s="178"/>
      <c r="D24" s="207">
        <f>IGR!K10</f>
        <v>0.60930133462354819</v>
      </c>
      <c r="E24" s="596"/>
      <c r="F24" s="633"/>
      <c r="G24" s="625"/>
      <c r="H24" s="625"/>
      <c r="I24" s="625"/>
      <c r="J24" s="625">
        <f t="shared" si="0"/>
        <v>0</v>
      </c>
    </row>
    <row r="25" spans="2:11" ht="15.75" customHeight="1">
      <c r="B25" s="232" t="s">
        <v>228</v>
      </c>
      <c r="C25" s="203"/>
      <c r="D25" s="203"/>
      <c r="E25" s="208"/>
      <c r="F25" s="634">
        <f>F23-F24</f>
        <v>1452.8908486104151</v>
      </c>
      <c r="G25" s="204">
        <f>G23-G24</f>
        <v>-336.91430415624575</v>
      </c>
      <c r="H25" s="204">
        <f>H23-H24</f>
        <v>1551.4430014493241</v>
      </c>
      <c r="I25" s="204">
        <f>I23-I24</f>
        <v>1909.9818146960044</v>
      </c>
      <c r="J25" s="204">
        <f>J23-J24</f>
        <v>3124.5105119890832</v>
      </c>
    </row>
    <row r="26" spans="2:11" ht="15.75" customHeight="1">
      <c r="C26" s="174"/>
      <c r="D26" s="174"/>
      <c r="E26" s="608"/>
      <c r="F26" s="609"/>
      <c r="G26" s="609"/>
      <c r="H26" s="609"/>
      <c r="I26" s="609"/>
      <c r="J26" s="609"/>
    </row>
    <row r="27" spans="2:11" ht="15.75" customHeight="1">
      <c r="B27" s="226" t="s">
        <v>229</v>
      </c>
    </row>
    <row r="28" spans="2:11" ht="15.75" customHeight="1">
      <c r="B28" s="505" t="s">
        <v>230</v>
      </c>
      <c r="F28" s="175"/>
    </row>
    <row r="29" spans="2:11" ht="15.75" customHeight="1">
      <c r="B29" s="227" t="s">
        <v>41</v>
      </c>
      <c r="C29" s="197"/>
      <c r="D29" s="197"/>
      <c r="E29" s="228" t="s">
        <v>16</v>
      </c>
      <c r="F29" s="210" t="s">
        <v>231</v>
      </c>
      <c r="G29" s="211" t="s">
        <v>232</v>
      </c>
      <c r="H29" s="212" t="s">
        <v>233</v>
      </c>
      <c r="I29" s="212" t="s">
        <v>234</v>
      </c>
      <c r="J29" s="198" t="s">
        <v>204</v>
      </c>
    </row>
    <row r="30" spans="2:11" s="220" customFormat="1" ht="15.75" customHeight="1">
      <c r="B30" s="197" t="s">
        <v>235</v>
      </c>
      <c r="C30" s="197"/>
      <c r="D30" s="197"/>
      <c r="E30" s="229"/>
      <c r="F30" s="230" t="s">
        <v>236</v>
      </c>
      <c r="G30" s="230" t="s">
        <v>236</v>
      </c>
      <c r="H30" s="230" t="s">
        <v>236</v>
      </c>
      <c r="I30" s="230" t="s">
        <v>236</v>
      </c>
      <c r="J30" s="230" t="s">
        <v>236</v>
      </c>
      <c r="K30" s="10"/>
    </row>
    <row r="31" spans="2:11" ht="15.75" customHeight="1">
      <c r="B31" s="195"/>
      <c r="C31" s="236" t="s">
        <v>237</v>
      </c>
      <c r="D31" s="178"/>
      <c r="E31" s="201">
        <v>2</v>
      </c>
      <c r="F31" s="199">
        <f>Debt!C5/1000</f>
        <v>42.671699999999994</v>
      </c>
      <c r="G31" s="177">
        <f>Debt!E5/1000</f>
        <v>42.495160000000006</v>
      </c>
      <c r="H31" s="177">
        <f>Debt!G5/1000</f>
        <v>45.780449999999995</v>
      </c>
      <c r="I31" s="177">
        <f>Debt!I5/1000</f>
        <v>51.856029999999997</v>
      </c>
      <c r="J31" s="177"/>
      <c r="K31" s="231" t="s">
        <v>238</v>
      </c>
    </row>
    <row r="32" spans="2:11" ht="15.75" customHeight="1">
      <c r="B32" s="195"/>
      <c r="C32" s="236" t="s">
        <v>239</v>
      </c>
      <c r="D32" s="178"/>
      <c r="E32" s="201">
        <v>2</v>
      </c>
      <c r="F32" s="199">
        <v>460.35</v>
      </c>
      <c r="G32" s="177">
        <f>Debt!E10</f>
        <v>907.11</v>
      </c>
      <c r="H32" s="177">
        <f>Debt!G10</f>
        <v>1535</v>
      </c>
      <c r="I32" s="177">
        <f>Debt!I10</f>
        <v>1450.3</v>
      </c>
      <c r="J32" s="177"/>
      <c r="K32" s="231" t="s">
        <v>240</v>
      </c>
    </row>
    <row r="33" spans="2:11" ht="15.75" customHeight="1">
      <c r="B33" s="195"/>
      <c r="C33" s="236" t="s">
        <v>241</v>
      </c>
      <c r="D33" s="178"/>
      <c r="E33" s="201"/>
      <c r="F33" s="199">
        <f>F31*F32</f>
        <v>19643.917094999997</v>
      </c>
      <c r="G33" s="199">
        <f t="shared" ref="G33:I33" si="1">G31*G32</f>
        <v>38547.784587600006</v>
      </c>
      <c r="H33" s="199">
        <f t="shared" si="1"/>
        <v>70272.990749999997</v>
      </c>
      <c r="I33" s="199">
        <f t="shared" si="1"/>
        <v>75206.800308999998</v>
      </c>
      <c r="J33" s="177"/>
    </row>
    <row r="34" spans="2:11" ht="15.75" customHeight="1">
      <c r="B34" s="195"/>
      <c r="C34" s="236" t="s">
        <v>242</v>
      </c>
      <c r="D34" s="178"/>
      <c r="E34" s="201">
        <v>2</v>
      </c>
      <c r="F34" s="199">
        <f>(Debt!D9/1000)-'Receipts &amp; Utilisation'!F33</f>
        <v>30209.768165000001</v>
      </c>
      <c r="G34" s="177">
        <f>Debt!F6/1000</f>
        <v>59120.858810000005</v>
      </c>
      <c r="H34" s="177">
        <f>Debt!H6/1000</f>
        <v>74377.92031999999</v>
      </c>
      <c r="I34" s="177">
        <f>Debt!J6/1000</f>
        <v>84849.333939999997</v>
      </c>
      <c r="J34" s="177"/>
    </row>
    <row r="35" spans="2:11" ht="15.75" customHeight="1">
      <c r="B35" s="178"/>
      <c r="C35" s="202" t="s">
        <v>243</v>
      </c>
      <c r="D35" s="202"/>
      <c r="E35" s="205"/>
      <c r="F35" s="206">
        <f>SUM(F33:F34)</f>
        <v>49853.685259999998</v>
      </c>
      <c r="G35" s="206">
        <f>SUM(G33:G34)</f>
        <v>97668.643397600012</v>
      </c>
      <c r="H35" s="206">
        <f>SUM(H33:H34)</f>
        <v>144650.91106999997</v>
      </c>
      <c r="I35" s="206">
        <f>SUM(I33:I34)</f>
        <v>160056.134249</v>
      </c>
      <c r="J35" s="206"/>
    </row>
    <row r="36" spans="2:11" ht="15.75" customHeight="1">
      <c r="B36" s="202" t="s">
        <v>244</v>
      </c>
      <c r="C36" s="178"/>
      <c r="D36" s="178"/>
      <c r="E36" s="201"/>
      <c r="F36" s="179"/>
      <c r="G36" s="179"/>
      <c r="H36" s="179"/>
      <c r="I36" s="179"/>
      <c r="J36" s="179"/>
    </row>
    <row r="37" spans="2:11" ht="15.75" customHeight="1">
      <c r="B37" s="178"/>
      <c r="C37" s="236" t="s">
        <v>245</v>
      </c>
      <c r="D37" s="178"/>
      <c r="E37" s="201">
        <v>2</v>
      </c>
      <c r="F37" s="179">
        <f>Debt!D8/1000</f>
        <v>5478.99359</v>
      </c>
      <c r="G37" s="179">
        <f>Debt!F8/1000</f>
        <v>5862.8469299999997</v>
      </c>
      <c r="H37" s="179">
        <f>Debt!H8/1000</f>
        <v>3968.0573199999999</v>
      </c>
      <c r="I37" s="179">
        <f>Debt!J8/1000</f>
        <v>4360.4688299999998</v>
      </c>
      <c r="J37" s="179"/>
    </row>
    <row r="38" spans="2:11" ht="15.75" customHeight="1">
      <c r="B38" s="178"/>
      <c r="C38" s="236" t="s">
        <v>246</v>
      </c>
      <c r="D38" s="178"/>
      <c r="E38" s="201"/>
      <c r="F38" s="216">
        <v>0</v>
      </c>
      <c r="G38" s="216">
        <f>F31*(G32-F32)</f>
        <v>19064.008691999996</v>
      </c>
      <c r="H38" s="216">
        <f>(G31*(H32-G32)+G38)</f>
        <v>45746.294704400003</v>
      </c>
      <c r="I38" s="216">
        <f>(H31*(I32-H32)+H38)</f>
        <v>41868.690589400001</v>
      </c>
      <c r="J38" s="221"/>
      <c r="K38" s="237" t="s">
        <v>247</v>
      </c>
    </row>
    <row r="39" spans="2:11" ht="15.75" customHeight="1">
      <c r="B39" s="178"/>
      <c r="C39" s="236" t="s">
        <v>248</v>
      </c>
      <c r="D39" s="178"/>
      <c r="E39" s="201"/>
      <c r="F39" s="179">
        <v>0</v>
      </c>
      <c r="G39" s="179">
        <v>22719</v>
      </c>
      <c r="H39" s="179">
        <f>7000+G39</f>
        <v>29719</v>
      </c>
      <c r="I39" s="179">
        <f>H39</f>
        <v>29719</v>
      </c>
      <c r="J39" s="221"/>
      <c r="K39" s="237" t="s">
        <v>249</v>
      </c>
    </row>
    <row r="40" spans="2:11" ht="15.75" customHeight="1">
      <c r="B40" s="178"/>
      <c r="C40" s="202" t="s">
        <v>250</v>
      </c>
      <c r="D40" s="178"/>
      <c r="E40" s="201"/>
      <c r="F40" s="206">
        <f>SUM(F37:F39)</f>
        <v>5478.99359</v>
      </c>
      <c r="G40" s="206">
        <f>SUM(G37:G39)</f>
        <v>47645.855621999995</v>
      </c>
      <c r="H40" s="206">
        <f>SUM(H37:H39)</f>
        <v>79433.352024399996</v>
      </c>
      <c r="I40" s="206">
        <f>SUM(I37:I39)</f>
        <v>75948.159419400006</v>
      </c>
      <c r="J40" s="179"/>
    </row>
    <row r="41" spans="2:11" ht="15.75" customHeight="1">
      <c r="B41" s="178"/>
      <c r="C41" s="178"/>
      <c r="D41" s="178"/>
      <c r="E41" s="201"/>
      <c r="F41" s="179"/>
      <c r="G41" s="179"/>
      <c r="H41" s="179"/>
      <c r="I41" s="179"/>
      <c r="J41" s="179"/>
    </row>
    <row r="42" spans="2:11" ht="15.75" customHeight="1">
      <c r="B42" s="236" t="s">
        <v>251</v>
      </c>
      <c r="C42" s="178"/>
      <c r="D42" s="178"/>
      <c r="E42" s="201"/>
      <c r="F42" s="179">
        <f>F35-F40</f>
        <v>44374.69167</v>
      </c>
      <c r="G42" s="179">
        <f>G35-G40</f>
        <v>50022.787775600016</v>
      </c>
      <c r="H42" s="179">
        <f>H35-H40</f>
        <v>65217.559045599977</v>
      </c>
      <c r="I42" s="179">
        <f>I35-I40</f>
        <v>84107.974829599989</v>
      </c>
      <c r="J42" s="179"/>
    </row>
    <row r="43" spans="2:11" ht="15.75" customHeight="1">
      <c r="B43" s="213" t="s">
        <v>252</v>
      </c>
      <c r="C43" s="213"/>
      <c r="D43" s="213"/>
      <c r="E43" s="214"/>
      <c r="F43" s="217">
        <v>0</v>
      </c>
      <c r="G43" s="217">
        <f>G42-F42</f>
        <v>5648.096105600016</v>
      </c>
      <c r="H43" s="217">
        <f>H42-G42</f>
        <v>15194.771269999961</v>
      </c>
      <c r="I43" s="217">
        <f>I42-H42</f>
        <v>18890.415784000012</v>
      </c>
      <c r="J43" s="222">
        <f>SUM(F43:I43)</f>
        <v>39733.283159599989</v>
      </c>
      <c r="K43" s="231" t="s">
        <v>253</v>
      </c>
    </row>
    <row r="44" spans="2:11" ht="15.75" customHeight="1">
      <c r="B44" s="570" t="s">
        <v>254</v>
      </c>
      <c r="C44" s="570"/>
      <c r="D44" s="570"/>
      <c r="E44" s="573" t="s">
        <v>255</v>
      </c>
      <c r="F44" s="571"/>
      <c r="G44" s="571">
        <f>Debt!F57/12*7</f>
        <v>6295.4255097222222</v>
      </c>
      <c r="H44" s="571">
        <f>Debt!F57</f>
        <v>10792.158016666666</v>
      </c>
      <c r="I44" s="571">
        <f>Debt!F57</f>
        <v>10792.158016666666</v>
      </c>
      <c r="J44" s="574">
        <f>SUM(F44:I44)</f>
        <v>27879.741543055556</v>
      </c>
      <c r="K44" s="231"/>
    </row>
    <row r="45" spans="2:11" ht="15.75" customHeight="1">
      <c r="B45" s="213" t="s">
        <v>56</v>
      </c>
      <c r="C45" s="213"/>
      <c r="D45" s="213"/>
      <c r="E45" s="214"/>
      <c r="F45" s="217">
        <f>F43-F44</f>
        <v>0</v>
      </c>
      <c r="G45" s="217">
        <f>G43-G44</f>
        <v>-647.32940412220614</v>
      </c>
      <c r="H45" s="217">
        <f>H43-H44</f>
        <v>4402.6132533332948</v>
      </c>
      <c r="I45" s="217">
        <f>I43-I44</f>
        <v>8098.2577673333453</v>
      </c>
      <c r="J45" s="217">
        <f>J43-J44</f>
        <v>11853.541616544433</v>
      </c>
      <c r="K45" s="231"/>
    </row>
    <row r="46" spans="2:11" ht="15.75" customHeight="1">
      <c r="B46" s="174"/>
      <c r="C46" s="174"/>
      <c r="D46" s="174"/>
      <c r="E46" s="608"/>
      <c r="F46" s="635"/>
      <c r="G46" s="635"/>
      <c r="H46" s="635"/>
      <c r="I46" s="635"/>
      <c r="J46" s="635"/>
      <c r="K46" s="231"/>
    </row>
    <row r="47" spans="2:11" ht="15.75" customHeight="1">
      <c r="B47" s="226" t="s">
        <v>256</v>
      </c>
      <c r="F47" s="173"/>
      <c r="G47" s="173"/>
      <c r="H47" s="173"/>
      <c r="I47" s="173"/>
      <c r="J47" s="173"/>
    </row>
    <row r="48" spans="2:11" ht="15.75" customHeight="1" thickBot="1">
      <c r="B48" s="174" t="s">
        <v>257</v>
      </c>
      <c r="F48" s="173"/>
      <c r="G48" s="173"/>
      <c r="H48" s="173"/>
      <c r="I48" s="243" t="s">
        <v>258</v>
      </c>
      <c r="J48" s="173"/>
    </row>
    <row r="49" spans="2:11" s="5" customFormat="1" ht="15.75" customHeight="1">
      <c r="B49" s="644" t="s">
        <v>259</v>
      </c>
      <c r="C49" s="645"/>
      <c r="D49" s="645"/>
      <c r="E49" s="645"/>
      <c r="F49" s="646" t="s">
        <v>210</v>
      </c>
      <c r="G49" s="646" t="s">
        <v>210</v>
      </c>
      <c r="H49" s="646" t="s">
        <v>210</v>
      </c>
      <c r="I49" s="646" t="s">
        <v>210</v>
      </c>
      <c r="J49" s="647" t="s">
        <v>210</v>
      </c>
    </row>
    <row r="50" spans="2:11" s="5" customFormat="1" ht="15.75" customHeight="1">
      <c r="B50" s="800"/>
      <c r="C50" s="801"/>
      <c r="D50" s="801"/>
      <c r="E50" s="801"/>
      <c r="F50" s="802"/>
      <c r="G50" s="802" t="s">
        <v>260</v>
      </c>
      <c r="H50" s="802">
        <v>2024</v>
      </c>
      <c r="I50" s="802">
        <v>2025</v>
      </c>
      <c r="J50" s="803" t="s">
        <v>204</v>
      </c>
    </row>
    <row r="51" spans="2:11" ht="15.75" customHeight="1">
      <c r="B51" s="636"/>
      <c r="C51" s="236" t="s">
        <v>261</v>
      </c>
      <c r="D51" s="178"/>
      <c r="E51" s="178"/>
      <c r="F51" s="179">
        <f>F10+F13</f>
        <v>0</v>
      </c>
      <c r="G51" s="179">
        <f>G10+G13</f>
        <v>388.14335079509567</v>
      </c>
      <c r="H51" s="179">
        <f>H10+H13</f>
        <v>1462.3113407700109</v>
      </c>
      <c r="I51" s="179">
        <f>I10+I13</f>
        <v>3575.6180655824346</v>
      </c>
      <c r="J51" s="639">
        <f>J10+J13</f>
        <v>5426.0727571475436</v>
      </c>
    </row>
    <row r="52" spans="2:11" ht="15.75" customHeight="1">
      <c r="B52" s="637"/>
      <c r="C52" s="236" t="s">
        <v>262</v>
      </c>
      <c r="D52" s="178"/>
      <c r="E52" s="178"/>
      <c r="F52" s="179">
        <f>F25</f>
        <v>1452.8908486104151</v>
      </c>
      <c r="G52" s="179">
        <f>G25</f>
        <v>-336.91430415624575</v>
      </c>
      <c r="H52" s="179">
        <f>H25</f>
        <v>1551.4430014493241</v>
      </c>
      <c r="I52" s="179">
        <f>I25</f>
        <v>1909.9818146960044</v>
      </c>
      <c r="J52" s="639">
        <f>SUM(G52:I52)</f>
        <v>3124.5105119890832</v>
      </c>
      <c r="K52" s="231" t="s">
        <v>263</v>
      </c>
    </row>
    <row r="53" spans="2:11" ht="15.75" customHeight="1">
      <c r="B53" s="638"/>
      <c r="C53" s="236" t="s">
        <v>264</v>
      </c>
      <c r="D53" s="178"/>
      <c r="E53" s="178"/>
      <c r="F53" s="179">
        <f>F45</f>
        <v>0</v>
      </c>
      <c r="G53" s="179">
        <f>G45</f>
        <v>-647.32940412220614</v>
      </c>
      <c r="H53" s="179">
        <f>H45</f>
        <v>4402.6132533332948</v>
      </c>
      <c r="I53" s="179">
        <f>I45</f>
        <v>8098.2577673333453</v>
      </c>
      <c r="J53" s="639">
        <f>J45</f>
        <v>11853.541616544433</v>
      </c>
    </row>
    <row r="54" spans="2:11" ht="15.75" customHeight="1" thickBot="1">
      <c r="B54" s="640"/>
      <c r="C54" s="641" t="s">
        <v>265</v>
      </c>
      <c r="D54" s="641"/>
      <c r="E54" s="641"/>
      <c r="F54" s="642">
        <f>SUM(F51:F53)</f>
        <v>1452.8908486104151</v>
      </c>
      <c r="G54" s="642">
        <f>SUM(G51:G53)</f>
        <v>-596.10035748335622</v>
      </c>
      <c r="H54" s="642">
        <f>SUM(H51:H53)</f>
        <v>7416.3675955526296</v>
      </c>
      <c r="I54" s="642">
        <f>SUM(I51:I53)</f>
        <v>13583.857647611785</v>
      </c>
      <c r="J54" s="643">
        <f>SUM(J51:J53)</f>
        <v>20404.12488568106</v>
      </c>
    </row>
    <row r="55" spans="2:11" ht="15.75" customHeight="1">
      <c r="B55" s="649" t="s">
        <v>266</v>
      </c>
      <c r="C55" s="650"/>
      <c r="D55" s="650"/>
      <c r="E55" s="650"/>
      <c r="F55" s="651"/>
      <c r="G55" s="651"/>
      <c r="H55" s="651"/>
      <c r="I55" s="651"/>
      <c r="J55" s="652"/>
    </row>
    <row r="56" spans="2:11" ht="15.75" customHeight="1">
      <c r="B56" s="637"/>
      <c r="C56" s="195" t="s">
        <v>267</v>
      </c>
      <c r="D56" s="178"/>
      <c r="E56" s="596" t="s">
        <v>268</v>
      </c>
      <c r="F56" s="179">
        <v>0</v>
      </c>
      <c r="G56" s="179">
        <v>0</v>
      </c>
      <c r="H56" s="179">
        <f>Expenses!D8</f>
        <v>3297.23097695468</v>
      </c>
      <c r="I56" s="179">
        <f>Expenses!D9</f>
        <v>6089.666897336956</v>
      </c>
      <c r="J56" s="639">
        <f t="shared" ref="J56:J64" si="2">SUM(F56:I56)</f>
        <v>9386.897874291637</v>
      </c>
    </row>
    <row r="57" spans="2:11" ht="15.75" customHeight="1">
      <c r="B57" s="637"/>
      <c r="C57" s="195" t="s">
        <v>269</v>
      </c>
      <c r="D57" s="178"/>
      <c r="E57" s="596" t="s">
        <v>268</v>
      </c>
      <c r="F57" s="179">
        <v>0</v>
      </c>
      <c r="G57" s="179">
        <v>0</v>
      </c>
      <c r="H57" s="179">
        <f>Infrastructure!$E$100/1000000000/2</f>
        <v>3232.6966070914009</v>
      </c>
      <c r="I57" s="179">
        <f>Infrastructure!$E$100/1000000000/2</f>
        <v>3232.6966070914009</v>
      </c>
      <c r="J57" s="1152">
        <f t="shared" si="2"/>
        <v>6465.3932141828018</v>
      </c>
      <c r="K57" s="231"/>
    </row>
    <row r="58" spans="2:11" ht="15.75" customHeight="1">
      <c r="B58" s="637"/>
      <c r="C58" s="195" t="s">
        <v>68</v>
      </c>
      <c r="D58" s="178"/>
      <c r="E58" s="596" t="s">
        <v>268</v>
      </c>
      <c r="F58" s="179">
        <v>0</v>
      </c>
      <c r="G58" s="648">
        <f>'Electricity subsidy'!G7/1000000000</f>
        <v>176.83707867277826</v>
      </c>
      <c r="H58" s="648">
        <f>'Electricity subsidy'!H7/1000000000</f>
        <v>1486.6195471560195</v>
      </c>
      <c r="I58" s="648">
        <f>'Electricity subsidy'!I7/1000000000</f>
        <v>1474.6901239945742</v>
      </c>
      <c r="J58" s="639">
        <f t="shared" si="2"/>
        <v>3138.1467498233719</v>
      </c>
    </row>
    <row r="59" spans="2:11" ht="15.75" customHeight="1">
      <c r="B59" s="637"/>
      <c r="C59" s="195" t="s">
        <v>270</v>
      </c>
      <c r="D59" s="178"/>
      <c r="E59" s="596" t="s">
        <v>268</v>
      </c>
      <c r="F59" s="179">
        <v>0</v>
      </c>
      <c r="G59" s="648">
        <f>(Debt!C20/1000)/12*7</f>
        <v>455.63674881666657</v>
      </c>
      <c r="H59" s="648">
        <f>Debt!D20/1000</f>
        <v>4603.5475644000007</v>
      </c>
      <c r="I59" s="648">
        <f>Debt!E20/1000</f>
        <v>4306.5240004000007</v>
      </c>
      <c r="J59" s="1152">
        <f t="shared" si="2"/>
        <v>9365.7083136166675</v>
      </c>
    </row>
    <row r="60" spans="2:11" ht="15.75" customHeight="1">
      <c r="B60" s="637"/>
      <c r="C60" s="195" t="s">
        <v>271</v>
      </c>
      <c r="D60" s="178"/>
      <c r="E60" s="596" t="s">
        <v>268</v>
      </c>
      <c r="F60" s="179">
        <v>0</v>
      </c>
      <c r="G60" s="179">
        <f>Debt!D36/12*7</f>
        <v>-9.6290248863178185</v>
      </c>
      <c r="H60" s="179">
        <f>Debt!E36</f>
        <v>450.16720515332941</v>
      </c>
      <c r="I60" s="179">
        <f>Debt!F36</f>
        <v>799.70295452416792</v>
      </c>
      <c r="J60" s="639">
        <f t="shared" si="2"/>
        <v>1240.2411347911795</v>
      </c>
      <c r="K60" s="231"/>
    </row>
    <row r="61" spans="2:11" ht="15.75" customHeight="1">
      <c r="B61" s="637"/>
      <c r="C61" s="195" t="s">
        <v>272</v>
      </c>
      <c r="D61" s="178"/>
      <c r="E61" s="596" t="s">
        <v>268</v>
      </c>
      <c r="F61" s="179">
        <v>0</v>
      </c>
      <c r="G61" s="179">
        <f>Transfers!C8</f>
        <v>0</v>
      </c>
      <c r="H61" s="179">
        <f>Transfers!D8</f>
        <v>193.8</v>
      </c>
      <c r="I61" s="179">
        <f>Transfers!E8</f>
        <v>230</v>
      </c>
      <c r="J61" s="1152">
        <f t="shared" si="2"/>
        <v>423.8</v>
      </c>
    </row>
    <row r="62" spans="2:11" ht="15.75" customHeight="1">
      <c r="B62" s="637"/>
      <c r="C62" s="195" t="s">
        <v>273</v>
      </c>
      <c r="D62" s="178"/>
      <c r="E62" s="596" t="s">
        <v>268</v>
      </c>
      <c r="F62" s="179">
        <v>0</v>
      </c>
      <c r="G62" s="179">
        <f>Expenses!D29</f>
        <v>25.887166666666673</v>
      </c>
      <c r="H62" s="179">
        <f>Expenses!E29</f>
        <v>165.31</v>
      </c>
      <c r="I62" s="179">
        <f>Expenses!F29</f>
        <v>10.059999999999992</v>
      </c>
      <c r="J62" s="1152">
        <f t="shared" si="2"/>
        <v>201.25716666666668</v>
      </c>
      <c r="K62" s="231" t="s">
        <v>274</v>
      </c>
    </row>
    <row r="63" spans="2:11" ht="15.75" customHeight="1">
      <c r="B63" s="637"/>
      <c r="C63" s="236" t="s">
        <v>275</v>
      </c>
      <c r="D63" s="178"/>
      <c r="E63" s="201"/>
      <c r="F63" s="179">
        <f>F13</f>
        <v>0</v>
      </c>
      <c r="G63" s="179">
        <f>G13</f>
        <v>30.179653833860272</v>
      </c>
      <c r="H63" s="179">
        <f>H13</f>
        <v>112.48466191361763</v>
      </c>
      <c r="I63" s="179">
        <f>I13</f>
        <v>276.43603532770749</v>
      </c>
      <c r="J63" s="1152">
        <f>J13</f>
        <v>419.10035107518797</v>
      </c>
      <c r="K63" s="231" t="s">
        <v>276</v>
      </c>
    </row>
    <row r="64" spans="2:11" ht="15.75" customHeight="1" thickBot="1">
      <c r="B64" s="637"/>
      <c r="C64" s="653" t="s">
        <v>277</v>
      </c>
      <c r="D64" s="654"/>
      <c r="E64" s="654"/>
      <c r="F64" s="180">
        <v>0</v>
      </c>
      <c r="G64" s="180">
        <v>0</v>
      </c>
      <c r="H64" s="180">
        <v>0</v>
      </c>
      <c r="I64" s="180">
        <v>0</v>
      </c>
      <c r="J64" s="1114">
        <f t="shared" si="2"/>
        <v>0</v>
      </c>
    </row>
    <row r="65" spans="1:11" ht="15.75" customHeight="1" thickBot="1">
      <c r="B65" s="655"/>
      <c r="C65" s="656" t="s">
        <v>73</v>
      </c>
      <c r="D65" s="657"/>
      <c r="E65" s="657"/>
      <c r="F65" s="658">
        <f>SUM(F56:F64)</f>
        <v>0</v>
      </c>
      <c r="G65" s="658">
        <f>SUM(G56:G64)</f>
        <v>678.91162310365394</v>
      </c>
      <c r="H65" s="658">
        <f t="shared" ref="H65:J65" si="3">SUM(H56:H64)</f>
        <v>13541.856562669047</v>
      </c>
      <c r="I65" s="658">
        <f t="shared" si="3"/>
        <v>16419.776618674805</v>
      </c>
      <c r="J65" s="659">
        <f t="shared" si="3"/>
        <v>30640.544804447512</v>
      </c>
    </row>
    <row r="66" spans="1:11" ht="15.75" customHeight="1">
      <c r="J66" s="494">
        <f>J54-J65</f>
        <v>-10236.419918766453</v>
      </c>
      <c r="K66" s="231" t="s">
        <v>278</v>
      </c>
    </row>
    <row r="67" spans="1:11" ht="15.75" customHeight="1">
      <c r="B67" s="5" t="s">
        <v>279</v>
      </c>
      <c r="J67" s="494"/>
    </row>
    <row r="68" spans="1:11" ht="15.75" customHeight="1">
      <c r="B68" s="231" t="s">
        <v>280</v>
      </c>
      <c r="J68" s="494"/>
    </row>
    <row r="69" spans="1:11" ht="15.75" customHeight="1">
      <c r="B69" s="10" t="s">
        <v>281</v>
      </c>
      <c r="J69" s="494"/>
    </row>
    <row r="70" spans="1:11" ht="15.75" customHeight="1">
      <c r="B70" s="10" t="s">
        <v>282</v>
      </c>
      <c r="J70" s="494"/>
    </row>
    <row r="71" spans="1:11" ht="15.75" customHeight="1">
      <c r="B71" s="10" t="s">
        <v>283</v>
      </c>
      <c r="J71" s="494"/>
    </row>
    <row r="72" spans="1:11" ht="15.75" customHeight="1">
      <c r="B72" s="10" t="s">
        <v>284</v>
      </c>
      <c r="J72" s="494"/>
    </row>
    <row r="73" spans="1:11" ht="15.75" customHeight="1">
      <c r="J73" s="494"/>
    </row>
    <row r="74" spans="1:11" ht="15.75" customHeight="1">
      <c r="B74" s="503" t="s">
        <v>285</v>
      </c>
      <c r="J74" s="494"/>
    </row>
    <row r="75" spans="1:11" ht="15.75" customHeight="1">
      <c r="A75">
        <v>1</v>
      </c>
      <c r="B75" s="504" t="s">
        <v>286</v>
      </c>
      <c r="J75" s="494"/>
    </row>
    <row r="76" spans="1:11" ht="15.75" customHeight="1">
      <c r="A76">
        <v>2</v>
      </c>
      <c r="B76" s="504" t="s">
        <v>287</v>
      </c>
      <c r="J76" s="494"/>
    </row>
    <row r="77" spans="1:11" ht="15.75" customHeight="1">
      <c r="A77">
        <v>3</v>
      </c>
      <c r="B77" s="504" t="s">
        <v>288</v>
      </c>
      <c r="J77" s="494"/>
    </row>
    <row r="78" spans="1:11" ht="15.75" customHeight="1">
      <c r="A78">
        <v>4</v>
      </c>
      <c r="B78" s="504" t="s">
        <v>289</v>
      </c>
      <c r="J78" s="494"/>
    </row>
    <row r="79" spans="1:11" ht="15.75" customHeight="1">
      <c r="A79">
        <v>5</v>
      </c>
      <c r="B79" s="504" t="s">
        <v>290</v>
      </c>
      <c r="J79" s="494"/>
    </row>
    <row r="80" spans="1:11" ht="15.75" customHeight="1">
      <c r="A80">
        <v>6</v>
      </c>
      <c r="B80" s="504" t="s">
        <v>291</v>
      </c>
      <c r="J80" s="494"/>
    </row>
    <row r="81" spans="1:21" ht="15.75" customHeight="1">
      <c r="B81" s="504"/>
      <c r="J81" s="494"/>
    </row>
    <row r="82" spans="1:21" ht="15.75" customHeight="1">
      <c r="B82" s="174" t="s">
        <v>292</v>
      </c>
    </row>
    <row r="83" spans="1:21" ht="15.75" customHeight="1">
      <c r="A83">
        <v>1</v>
      </c>
      <c r="B83" s="231" t="s">
        <v>293</v>
      </c>
      <c r="C83" s="231" t="s">
        <v>294</v>
      </c>
    </row>
    <row r="84" spans="1:21" ht="12.95">
      <c r="A84">
        <v>2</v>
      </c>
      <c r="B84" s="231" t="s">
        <v>295</v>
      </c>
      <c r="C84" s="231" t="s">
        <v>296</v>
      </c>
      <c r="K84" s="231"/>
    </row>
    <row r="85" spans="1:21" ht="12.95">
      <c r="A85">
        <v>3</v>
      </c>
      <c r="B85" s="10" t="s">
        <v>297</v>
      </c>
      <c r="C85" s="231" t="s">
        <v>298</v>
      </c>
      <c r="D85" s="10"/>
      <c r="E85" s="10"/>
      <c r="F85" s="10"/>
      <c r="G85" s="10"/>
      <c r="H85" s="10"/>
      <c r="I85" s="10"/>
      <c r="L85" s="231"/>
    </row>
    <row r="86" spans="1:21" ht="15.75" customHeight="1">
      <c r="A86">
        <v>4</v>
      </c>
      <c r="B86" s="10" t="s">
        <v>299</v>
      </c>
      <c r="C86" s="231" t="s">
        <v>300</v>
      </c>
      <c r="D86" s="10"/>
      <c r="I86" s="10"/>
      <c r="L86" s="231"/>
    </row>
    <row r="87" spans="1:21" ht="15.75" customHeight="1">
      <c r="A87">
        <v>5</v>
      </c>
      <c r="B87" s="10" t="s">
        <v>301</v>
      </c>
      <c r="C87" s="231" t="s">
        <v>302</v>
      </c>
      <c r="D87" s="10"/>
      <c r="I87" s="10"/>
      <c r="L87" s="231"/>
    </row>
    <row r="88" spans="1:21" ht="15.75" customHeight="1">
      <c r="B88" s="10"/>
      <c r="C88" s="238"/>
      <c r="D88" s="10"/>
      <c r="I88" s="10"/>
      <c r="L88" s="231"/>
    </row>
    <row r="89" spans="1:21" ht="15.75" customHeight="1">
      <c r="B89" s="5" t="s">
        <v>303</v>
      </c>
      <c r="C89" s="239"/>
      <c r="D89" s="10"/>
      <c r="I89" s="10"/>
      <c r="L89" s="231"/>
    </row>
    <row r="90" spans="1:21" ht="15.75" customHeight="1">
      <c r="B90" s="10" t="s">
        <v>304</v>
      </c>
      <c r="C90" s="239"/>
      <c r="D90" s="10"/>
      <c r="I90" s="10"/>
      <c r="L90" s="218"/>
      <c r="U90" s="219"/>
    </row>
    <row r="91" spans="1:21" ht="15.75" customHeight="1">
      <c r="B91" s="10" t="s">
        <v>305</v>
      </c>
      <c r="C91" s="239"/>
      <c r="D91" s="98"/>
      <c r="E91" s="219"/>
      <c r="F91" s="219"/>
      <c r="G91" s="219"/>
      <c r="H91" s="219"/>
      <c r="I91" s="219"/>
      <c r="L91" s="10"/>
      <c r="U91" s="10"/>
    </row>
    <row r="92" spans="1:21" ht="15.75" customHeight="1">
      <c r="C92" s="239"/>
      <c r="K92" s="174"/>
    </row>
    <row r="93" spans="1:21" ht="12.95">
      <c r="B93" s="5"/>
      <c r="C93" s="239"/>
      <c r="D93" s="10"/>
      <c r="E93" s="10"/>
      <c r="F93" s="10"/>
      <c r="G93" s="10"/>
      <c r="H93" s="10"/>
      <c r="I93" s="10"/>
    </row>
    <row r="94" spans="1:21" ht="12.95">
      <c r="F94" s="94"/>
      <c r="I94" s="10"/>
      <c r="J94" s="10"/>
    </row>
    <row r="95" spans="1:21" ht="12.95">
      <c r="F95" s="94"/>
      <c r="G95" s="5"/>
      <c r="I95" s="10"/>
      <c r="J95" s="10"/>
    </row>
    <row r="96" spans="1:21" ht="12.95">
      <c r="F96" s="94"/>
      <c r="G96" s="5"/>
      <c r="I96" s="10"/>
      <c r="J96" s="10"/>
    </row>
    <row r="97" spans="2:10" ht="12.95">
      <c r="I97" s="10"/>
      <c r="J97" s="10"/>
    </row>
    <row r="98" spans="2:10" ht="12.95">
      <c r="C98" s="10"/>
      <c r="D98" s="10"/>
      <c r="E98" s="10"/>
      <c r="F98" s="10"/>
      <c r="G98" s="10"/>
      <c r="H98" s="10"/>
      <c r="I98" s="10"/>
      <c r="J98" s="10"/>
    </row>
    <row r="99" spans="2:10" ht="15.75" customHeight="1">
      <c r="J99" s="10"/>
    </row>
    <row r="100" spans="2:10" ht="15.75" customHeight="1">
      <c r="J100" s="10"/>
    </row>
    <row r="101" spans="2:10" ht="12.95">
      <c r="B101" s="5"/>
      <c r="C101" s="10"/>
      <c r="D101" s="10"/>
      <c r="E101" s="10"/>
      <c r="F101" s="10"/>
      <c r="G101" s="10"/>
      <c r="H101" s="10"/>
      <c r="I101" s="10"/>
      <c r="J101" s="10"/>
    </row>
    <row r="102" spans="2:10" ht="12.95">
      <c r="B102" s="10"/>
      <c r="C102" s="10"/>
      <c r="D102" s="10"/>
      <c r="E102" s="10"/>
      <c r="F102" s="10"/>
      <c r="I102" s="10"/>
    </row>
    <row r="103" spans="2:10" ht="12.95">
      <c r="B103" s="10"/>
      <c r="C103" s="10"/>
      <c r="D103" s="10"/>
      <c r="E103" s="94"/>
      <c r="F103" s="94"/>
      <c r="I103" s="10"/>
    </row>
    <row r="104" spans="2:10" ht="12.95">
      <c r="B104" s="10"/>
      <c r="C104" s="10"/>
      <c r="D104" s="10"/>
      <c r="E104" s="94"/>
      <c r="F104" s="94"/>
      <c r="I104" s="10"/>
    </row>
    <row r="105" spans="2:10" ht="12.95">
      <c r="B105" s="10"/>
      <c r="C105" s="10"/>
      <c r="D105" s="10"/>
      <c r="E105" s="94"/>
      <c r="F105" s="94"/>
      <c r="I105" s="10"/>
    </row>
    <row r="106" spans="2:10" ht="12.95">
      <c r="B106" s="10"/>
      <c r="C106" s="10"/>
      <c r="D106" s="10"/>
      <c r="E106" s="94"/>
      <c r="F106" s="94"/>
      <c r="I106" s="10"/>
    </row>
    <row r="107" spans="2:10" ht="12.95">
      <c r="B107" s="10"/>
      <c r="C107" s="10"/>
      <c r="D107" s="10"/>
      <c r="E107" s="94"/>
      <c r="F107" s="94"/>
      <c r="I107" s="10"/>
    </row>
    <row r="108" spans="2:10" ht="12.95">
      <c r="B108" s="10"/>
      <c r="F108" s="10"/>
      <c r="I108" s="10"/>
    </row>
    <row r="109" spans="2:10" ht="12.95">
      <c r="B109" s="10"/>
      <c r="E109" s="10"/>
      <c r="F109" s="10"/>
      <c r="I109" s="10"/>
    </row>
    <row r="110" spans="2:10" ht="12.95">
      <c r="B110" s="10"/>
      <c r="E110" s="10"/>
      <c r="F110" s="10"/>
      <c r="I110" s="10"/>
    </row>
    <row r="111" spans="2:10" ht="12.95">
      <c r="B111" s="10"/>
      <c r="E111" s="10"/>
      <c r="F111" s="10"/>
      <c r="I111" s="10"/>
    </row>
    <row r="112" spans="2:10" ht="12.95">
      <c r="B112" s="5"/>
      <c r="C112" s="10"/>
      <c r="D112" s="10"/>
      <c r="E112" s="10"/>
      <c r="F112" s="10"/>
      <c r="G112" s="10"/>
      <c r="H112" s="10"/>
      <c r="I112" s="10"/>
    </row>
    <row r="113" spans="2:2" ht="12.95">
      <c r="B113" s="5"/>
    </row>
    <row r="114" spans="2:2" ht="12.95">
      <c r="B114" s="5"/>
    </row>
    <row r="115" spans="2:2" ht="12.95">
      <c r="B115" s="10"/>
    </row>
    <row r="116" spans="2:2" ht="12.95">
      <c r="B116" s="20"/>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2A29E-BBD3-6340-9AD4-C0AFD522E169}">
  <sheetPr>
    <tabColor theme="7"/>
  </sheetPr>
  <dimension ref="B2:S123"/>
  <sheetViews>
    <sheetView zoomScale="130" zoomScaleNormal="130" workbookViewId="0">
      <selection activeCell="E98" sqref="E98"/>
    </sheetView>
  </sheetViews>
  <sheetFormatPr defaultColWidth="10.85546875" defaultRowHeight="14.1"/>
  <cols>
    <col min="1" max="1" width="4.42578125" style="407" customWidth="1"/>
    <col min="2" max="2" width="22.85546875" style="408" customWidth="1"/>
    <col min="3" max="3" width="13.85546875" style="407" customWidth="1"/>
    <col min="4" max="4" width="15" style="407" customWidth="1"/>
    <col min="5" max="5" width="14.85546875" style="407" customWidth="1"/>
    <col min="6" max="6" width="14.140625" style="407" customWidth="1"/>
    <col min="7" max="7" width="14.7109375" style="407" customWidth="1"/>
    <col min="8" max="8" width="14.28515625" style="407" customWidth="1"/>
    <col min="9" max="9" width="14" style="407" customWidth="1"/>
    <col min="10" max="11" width="10.85546875" style="407"/>
    <col min="12" max="19" width="0" style="407" hidden="1" customWidth="1"/>
    <col min="20" max="16384" width="10.85546875" style="407"/>
  </cols>
  <sheetData>
    <row r="2" spans="2:19">
      <c r="B2" s="607" t="s">
        <v>306</v>
      </c>
      <c r="L2" s="491" t="s">
        <v>307</v>
      </c>
      <c r="M2" s="491"/>
      <c r="N2" s="491"/>
      <c r="O2" s="491"/>
      <c r="P2" s="491"/>
      <c r="Q2" s="491"/>
      <c r="R2" s="491"/>
      <c r="S2" s="491"/>
    </row>
    <row r="3" spans="2:19" ht="15" thickBot="1">
      <c r="B3" s="409"/>
      <c r="L3" s="491"/>
      <c r="M3" s="491"/>
      <c r="N3" s="491"/>
      <c r="O3" s="491"/>
      <c r="P3" s="491"/>
      <c r="Q3" s="491"/>
      <c r="R3" s="491"/>
      <c r="S3" s="491"/>
    </row>
    <row r="4" spans="2:19">
      <c r="B4" s="475">
        <v>2022</v>
      </c>
      <c r="C4" s="476" t="s">
        <v>308</v>
      </c>
      <c r="D4" s="476" t="s">
        <v>309</v>
      </c>
      <c r="E4" s="476" t="s">
        <v>310</v>
      </c>
      <c r="F4" s="476" t="s">
        <v>19</v>
      </c>
      <c r="G4" s="476" t="s">
        <v>21</v>
      </c>
      <c r="H4" s="476" t="s">
        <v>23</v>
      </c>
      <c r="I4" s="477" t="s">
        <v>311</v>
      </c>
      <c r="L4" s="491">
        <v>2022</v>
      </c>
      <c r="M4" s="491" t="s">
        <v>308</v>
      </c>
      <c r="N4" s="491" t="s">
        <v>309</v>
      </c>
      <c r="O4" s="491" t="s">
        <v>310</v>
      </c>
      <c r="P4" s="491" t="s">
        <v>19</v>
      </c>
      <c r="Q4" s="491" t="s">
        <v>21</v>
      </c>
      <c r="R4" s="491" t="s">
        <v>23</v>
      </c>
      <c r="S4" s="491" t="s">
        <v>311</v>
      </c>
    </row>
    <row r="5" spans="2:19">
      <c r="B5" s="478"/>
      <c r="C5" s="410" t="s">
        <v>17</v>
      </c>
      <c r="D5" s="410" t="s">
        <v>17</v>
      </c>
      <c r="E5" s="410" t="s">
        <v>17</v>
      </c>
      <c r="F5" s="410" t="s">
        <v>17</v>
      </c>
      <c r="G5" s="410" t="s">
        <v>17</v>
      </c>
      <c r="H5" s="410" t="s">
        <v>17</v>
      </c>
      <c r="I5" s="479" t="s">
        <v>17</v>
      </c>
      <c r="L5" s="491"/>
      <c r="M5" s="491" t="s">
        <v>17</v>
      </c>
      <c r="N5" s="491" t="s">
        <v>17</v>
      </c>
      <c r="O5" s="491" t="s">
        <v>17</v>
      </c>
      <c r="P5" s="491" t="s">
        <v>17</v>
      </c>
      <c r="Q5" s="491" t="s">
        <v>17</v>
      </c>
      <c r="R5" s="491" t="s">
        <v>17</v>
      </c>
      <c r="S5" s="491" t="s">
        <v>17</v>
      </c>
    </row>
    <row r="6" spans="2:19">
      <c r="B6" s="480" t="s">
        <v>312</v>
      </c>
      <c r="C6" s="414">
        <v>0</v>
      </c>
      <c r="D6" s="415">
        <v>0</v>
      </c>
      <c r="E6" s="413">
        <f t="shared" ref="E6:E17" si="0">C6-D6</f>
        <v>0</v>
      </c>
      <c r="F6" s="411">
        <v>0</v>
      </c>
      <c r="G6" s="411">
        <v>0</v>
      </c>
      <c r="H6" s="411">
        <v>0</v>
      </c>
      <c r="I6" s="481">
        <v>0</v>
      </c>
      <c r="L6" s="491" t="s">
        <v>312</v>
      </c>
      <c r="M6" s="491">
        <v>0</v>
      </c>
      <c r="N6" s="491">
        <v>0</v>
      </c>
      <c r="O6" s="491">
        <v>0</v>
      </c>
      <c r="P6" s="491">
        <v>0</v>
      </c>
      <c r="Q6" s="491">
        <v>0</v>
      </c>
      <c r="R6" s="491">
        <v>0</v>
      </c>
      <c r="S6" s="491">
        <v>0</v>
      </c>
    </row>
    <row r="7" spans="2:19">
      <c r="B7" s="480" t="s">
        <v>313</v>
      </c>
      <c r="C7" s="414">
        <v>0</v>
      </c>
      <c r="D7" s="415">
        <v>0</v>
      </c>
      <c r="E7" s="413">
        <f t="shared" si="0"/>
        <v>0</v>
      </c>
      <c r="F7" s="411">
        <v>0</v>
      </c>
      <c r="G7" s="411">
        <v>0</v>
      </c>
      <c r="H7" s="411">
        <v>0</v>
      </c>
      <c r="I7" s="481">
        <v>0</v>
      </c>
      <c r="L7" s="491" t="s">
        <v>313</v>
      </c>
      <c r="M7" s="491">
        <v>0</v>
      </c>
      <c r="N7" s="491">
        <v>0</v>
      </c>
      <c r="O7" s="491">
        <v>0</v>
      </c>
      <c r="P7" s="491">
        <v>0</v>
      </c>
      <c r="Q7" s="491">
        <v>0</v>
      </c>
      <c r="R7" s="491">
        <v>0</v>
      </c>
      <c r="S7" s="491">
        <v>0</v>
      </c>
    </row>
    <row r="8" spans="2:19">
      <c r="B8" s="480" t="s">
        <v>314</v>
      </c>
      <c r="C8" s="414">
        <v>0</v>
      </c>
      <c r="D8" s="415">
        <v>0</v>
      </c>
      <c r="E8" s="413">
        <f t="shared" si="0"/>
        <v>0</v>
      </c>
      <c r="F8" s="411">
        <v>0</v>
      </c>
      <c r="G8" s="411">
        <v>0</v>
      </c>
      <c r="H8" s="411">
        <v>0</v>
      </c>
      <c r="I8" s="481">
        <v>0</v>
      </c>
      <c r="L8" s="491" t="s">
        <v>314</v>
      </c>
      <c r="M8" s="491">
        <v>0</v>
      </c>
      <c r="N8" s="491">
        <v>0</v>
      </c>
      <c r="O8" s="491">
        <v>0</v>
      </c>
      <c r="P8" s="491">
        <v>0</v>
      </c>
      <c r="Q8" s="491">
        <v>0</v>
      </c>
      <c r="R8" s="491">
        <v>0</v>
      </c>
      <c r="S8" s="491">
        <v>0</v>
      </c>
    </row>
    <row r="9" spans="2:19">
      <c r="B9" s="480" t="s">
        <v>315</v>
      </c>
      <c r="C9" s="414">
        <v>0</v>
      </c>
      <c r="D9" s="415">
        <v>0</v>
      </c>
      <c r="E9" s="413">
        <f t="shared" si="0"/>
        <v>0</v>
      </c>
      <c r="F9" s="411">
        <v>0</v>
      </c>
      <c r="G9" s="411">
        <v>0</v>
      </c>
      <c r="H9" s="411">
        <v>0</v>
      </c>
      <c r="I9" s="481">
        <v>0</v>
      </c>
      <c r="L9" s="491" t="s">
        <v>315</v>
      </c>
      <c r="M9" s="491">
        <v>0</v>
      </c>
      <c r="N9" s="491">
        <v>0</v>
      </c>
      <c r="O9" s="491">
        <v>0</v>
      </c>
      <c r="P9" s="491">
        <v>0</v>
      </c>
      <c r="Q9" s="491">
        <v>0</v>
      </c>
      <c r="R9" s="491">
        <v>0</v>
      </c>
      <c r="S9" s="491">
        <v>0</v>
      </c>
    </row>
    <row r="10" spans="2:19">
      <c r="B10" s="480" t="s">
        <v>316</v>
      </c>
      <c r="C10" s="414">
        <v>0</v>
      </c>
      <c r="D10" s="415">
        <v>0</v>
      </c>
      <c r="E10" s="413">
        <f t="shared" si="0"/>
        <v>0</v>
      </c>
      <c r="F10" s="411">
        <v>0</v>
      </c>
      <c r="G10" s="411">
        <v>0</v>
      </c>
      <c r="H10" s="411">
        <v>0</v>
      </c>
      <c r="I10" s="481">
        <v>0</v>
      </c>
      <c r="L10" s="491" t="s">
        <v>316</v>
      </c>
      <c r="M10" s="491">
        <v>0</v>
      </c>
      <c r="N10" s="491">
        <v>0</v>
      </c>
      <c r="O10" s="491">
        <v>0</v>
      </c>
      <c r="P10" s="491">
        <v>0</v>
      </c>
      <c r="Q10" s="491">
        <v>0</v>
      </c>
      <c r="R10" s="491">
        <v>0</v>
      </c>
      <c r="S10" s="491">
        <v>0</v>
      </c>
    </row>
    <row r="11" spans="2:19">
      <c r="B11" s="480" t="s">
        <v>317</v>
      </c>
      <c r="C11" s="414">
        <f>'2022'!J25</f>
        <v>904.45</v>
      </c>
      <c r="D11" s="415">
        <f>'2022'!J27+'2022'!J28</f>
        <v>223.66800000000001</v>
      </c>
      <c r="E11" s="413">
        <f t="shared" si="0"/>
        <v>680.78200000000004</v>
      </c>
      <c r="F11" s="411">
        <f>'2022'!J31</f>
        <v>211.911</v>
      </c>
      <c r="G11" s="411">
        <f>'2022'!J32+'2022'!J34</f>
        <v>275.27699999999999</v>
      </c>
      <c r="H11" s="411">
        <f>'2022'!J33</f>
        <v>175.94200000000001</v>
      </c>
      <c r="I11" s="481">
        <f>'2022'!J42</f>
        <v>17.651999999999997</v>
      </c>
      <c r="L11" s="491" t="s">
        <v>317</v>
      </c>
      <c r="M11" s="491">
        <v>904.45</v>
      </c>
      <c r="N11" s="491">
        <v>223.66800000000001</v>
      </c>
      <c r="O11" s="491">
        <v>680.78200000000004</v>
      </c>
      <c r="P11" s="491">
        <v>211.911</v>
      </c>
      <c r="Q11" s="491">
        <v>275.27699999999999</v>
      </c>
      <c r="R11" s="491">
        <v>175.94200000000001</v>
      </c>
      <c r="S11" s="491">
        <v>17.651999999999997</v>
      </c>
    </row>
    <row r="12" spans="2:19">
      <c r="B12" s="480" t="s">
        <v>318</v>
      </c>
      <c r="C12" s="414">
        <f>'2022'!K25</f>
        <v>1220.211</v>
      </c>
      <c r="D12" s="415">
        <f>'2022'!K27+'2022'!K28</f>
        <v>417.80599999999998</v>
      </c>
      <c r="E12" s="413">
        <f t="shared" si="0"/>
        <v>802.40499999999997</v>
      </c>
      <c r="F12" s="411">
        <f>'2022'!K31</f>
        <v>296.69</v>
      </c>
      <c r="G12" s="411">
        <f>'2022'!K32+'2022'!K34</f>
        <v>298.21699999999998</v>
      </c>
      <c r="H12" s="411">
        <f>'2022'!K33</f>
        <v>182.33</v>
      </c>
      <c r="I12" s="481">
        <f>'2022'!K42</f>
        <v>25.167999999999999</v>
      </c>
      <c r="L12" s="491" t="s">
        <v>318</v>
      </c>
      <c r="M12" s="491">
        <v>1220.211</v>
      </c>
      <c r="N12" s="491">
        <v>417.80599999999998</v>
      </c>
      <c r="O12" s="491">
        <v>802.40499999999997</v>
      </c>
      <c r="P12" s="491">
        <v>296.69</v>
      </c>
      <c r="Q12" s="491">
        <v>298.21699999999998</v>
      </c>
      <c r="R12" s="491">
        <v>182.33</v>
      </c>
      <c r="S12" s="491">
        <v>25.167999999999999</v>
      </c>
    </row>
    <row r="13" spans="2:19">
      <c r="B13" s="480" t="s">
        <v>319</v>
      </c>
      <c r="C13" s="414">
        <f>'2022'!L25</f>
        <v>1257.1010000000001</v>
      </c>
      <c r="D13" s="415">
        <f>'2022'!L27+'2022'!L28</f>
        <v>303.017</v>
      </c>
      <c r="E13" s="413">
        <f t="shared" si="0"/>
        <v>954.08400000000006</v>
      </c>
      <c r="F13" s="411">
        <f>'2022'!L31</f>
        <v>374.68299999999999</v>
      </c>
      <c r="G13" s="411">
        <f>'2022'!L32+'2022'!L34</f>
        <v>336.85699999999997</v>
      </c>
      <c r="H13" s="411">
        <f>'2022'!L33</f>
        <v>210.61699999999999</v>
      </c>
      <c r="I13" s="481">
        <f>'2022'!L42</f>
        <v>31.927000000000003</v>
      </c>
      <c r="L13" s="491" t="s">
        <v>319</v>
      </c>
      <c r="M13" s="491">
        <v>1257.1010000000001</v>
      </c>
      <c r="N13" s="491">
        <v>303.017</v>
      </c>
      <c r="O13" s="491">
        <v>954.08400000000006</v>
      </c>
      <c r="P13" s="491">
        <v>374.68299999999999</v>
      </c>
      <c r="Q13" s="491">
        <v>336.85699999999997</v>
      </c>
      <c r="R13" s="491">
        <v>210.61699999999999</v>
      </c>
      <c r="S13" s="491">
        <v>31.927000000000003</v>
      </c>
    </row>
    <row r="14" spans="2:19">
      <c r="B14" s="480" t="s">
        <v>320</v>
      </c>
      <c r="C14" s="414">
        <f>'2022'!M25</f>
        <v>885.53100000000006</v>
      </c>
      <c r="D14" s="415">
        <f>'2022'!M27+'2022'!M28</f>
        <v>212.39400000000001</v>
      </c>
      <c r="E14" s="413">
        <f t="shared" si="0"/>
        <v>673.13700000000006</v>
      </c>
      <c r="F14" s="411">
        <f>'2022'!M31</f>
        <v>239.44800000000001</v>
      </c>
      <c r="G14" s="411">
        <f>'2022'!M32+'2022'!M34</f>
        <v>249.25</v>
      </c>
      <c r="H14" s="411">
        <f>'2022'!M33</f>
        <v>164.24700000000001</v>
      </c>
      <c r="I14" s="481">
        <f>'2022'!M42</f>
        <v>20.192</v>
      </c>
      <c r="L14" s="491" t="s">
        <v>320</v>
      </c>
      <c r="M14" s="491">
        <v>885.53100000000006</v>
      </c>
      <c r="N14" s="491">
        <v>212.39400000000001</v>
      </c>
      <c r="O14" s="491">
        <v>673.13700000000006</v>
      </c>
      <c r="P14" s="491">
        <v>239.44800000000001</v>
      </c>
      <c r="Q14" s="491">
        <v>249.25</v>
      </c>
      <c r="R14" s="491">
        <v>164.24700000000001</v>
      </c>
      <c r="S14" s="491">
        <v>20.192</v>
      </c>
    </row>
    <row r="15" spans="2:19">
      <c r="B15" s="480" t="s">
        <v>321</v>
      </c>
      <c r="C15" s="414">
        <f>'2022'!N25</f>
        <v>1098.182</v>
      </c>
      <c r="D15" s="415">
        <f>'2022'!N27+'2022'!N28</f>
        <v>337.947</v>
      </c>
      <c r="E15" s="413">
        <f t="shared" si="0"/>
        <v>760.23500000000001</v>
      </c>
      <c r="F15" s="411">
        <f>'2022'!N31</f>
        <v>271.27300000000002</v>
      </c>
      <c r="G15" s="411">
        <f>'2022'!N32+'2022'!N34</f>
        <v>293.21500000000003</v>
      </c>
      <c r="H15" s="411">
        <f>'2022'!N33</f>
        <v>172.77699999999999</v>
      </c>
      <c r="I15" s="481">
        <f>'2022'!N42</f>
        <v>22.97</v>
      </c>
      <c r="L15" s="491" t="s">
        <v>321</v>
      </c>
      <c r="M15" s="491">
        <v>1098.182</v>
      </c>
      <c r="N15" s="491">
        <v>337.947</v>
      </c>
      <c r="O15" s="491">
        <v>760.23500000000001</v>
      </c>
      <c r="P15" s="491">
        <v>271.27300000000002</v>
      </c>
      <c r="Q15" s="491">
        <v>293.21500000000003</v>
      </c>
      <c r="R15" s="491">
        <v>172.77699999999999</v>
      </c>
      <c r="S15" s="491">
        <v>22.97</v>
      </c>
    </row>
    <row r="16" spans="2:19">
      <c r="B16" s="480" t="s">
        <v>322</v>
      </c>
      <c r="C16" s="414">
        <f>'2022'!O25</f>
        <v>957.08500000000004</v>
      </c>
      <c r="D16" s="415">
        <f>'2022'!O27+'2022'!O28</f>
        <v>220.304</v>
      </c>
      <c r="E16" s="413">
        <f t="shared" si="0"/>
        <v>736.78100000000006</v>
      </c>
      <c r="F16" s="411">
        <f>'2022'!O31</f>
        <v>271.036</v>
      </c>
      <c r="G16" s="411">
        <f>'2022'!O32+'2022'!O34</f>
        <v>265.74</v>
      </c>
      <c r="H16" s="411">
        <f>'2022'!O33</f>
        <v>177.08699999999999</v>
      </c>
      <c r="I16" s="481">
        <f>'2022'!O42</f>
        <v>22.917999999999999</v>
      </c>
      <c r="L16" s="491" t="s">
        <v>322</v>
      </c>
      <c r="M16" s="491">
        <v>957.08500000000004</v>
      </c>
      <c r="N16" s="491">
        <v>220.304</v>
      </c>
      <c r="O16" s="491">
        <v>736.78100000000006</v>
      </c>
      <c r="P16" s="491">
        <v>271.036</v>
      </c>
      <c r="Q16" s="491">
        <v>265.74</v>
      </c>
      <c r="R16" s="491">
        <v>177.08699999999999</v>
      </c>
      <c r="S16" s="491">
        <v>22.917999999999999</v>
      </c>
    </row>
    <row r="17" spans="2:19">
      <c r="B17" s="480" t="s">
        <v>323</v>
      </c>
      <c r="C17" s="414">
        <f>'2022'!P25</f>
        <v>1175.0360000000001</v>
      </c>
      <c r="D17" s="415">
        <f>'2022'!P27+'2022'!P28</f>
        <v>272.983</v>
      </c>
      <c r="E17" s="413">
        <f t="shared" si="0"/>
        <v>902.05300000000011</v>
      </c>
      <c r="F17" s="411">
        <f>'2022'!P31</f>
        <v>330.47399999999999</v>
      </c>
      <c r="G17" s="411">
        <f>'2022'!P32+'2022'!P34</f>
        <v>341.053</v>
      </c>
      <c r="H17" s="411">
        <f>'2022'!P33</f>
        <v>202.48599999999999</v>
      </c>
      <c r="I17" s="481">
        <f>'2022'!P42</f>
        <v>28.04</v>
      </c>
      <c r="L17" s="491" t="s">
        <v>323</v>
      </c>
      <c r="M17" s="491">
        <v>1175.0360000000001</v>
      </c>
      <c r="N17" s="491">
        <v>272.983</v>
      </c>
      <c r="O17" s="491">
        <v>902.05300000000011</v>
      </c>
      <c r="P17" s="491">
        <v>330.47399999999999</v>
      </c>
      <c r="Q17" s="491">
        <v>341.053</v>
      </c>
      <c r="R17" s="491">
        <v>202.48599999999999</v>
      </c>
      <c r="S17" s="491">
        <v>28.04</v>
      </c>
    </row>
    <row r="18" spans="2:19">
      <c r="B18" s="482" t="s">
        <v>25</v>
      </c>
      <c r="C18" s="412">
        <f t="shared" ref="C18:I18" si="1">SUM(C6:C17)</f>
        <v>7497.5960000000005</v>
      </c>
      <c r="D18" s="412">
        <f t="shared" si="1"/>
        <v>1988.1189999999999</v>
      </c>
      <c r="E18" s="412">
        <f t="shared" si="1"/>
        <v>5509.4769999999999</v>
      </c>
      <c r="F18" s="412">
        <f t="shared" si="1"/>
        <v>1995.5150000000001</v>
      </c>
      <c r="G18" s="412">
        <f t="shared" si="1"/>
        <v>2059.6089999999999</v>
      </c>
      <c r="H18" s="412">
        <f t="shared" si="1"/>
        <v>1285.4859999999999</v>
      </c>
      <c r="I18" s="483">
        <f t="shared" si="1"/>
        <v>168.86699999999999</v>
      </c>
      <c r="L18" s="491" t="s">
        <v>25</v>
      </c>
      <c r="M18" s="491">
        <v>7497.5960000000005</v>
      </c>
      <c r="N18" s="491">
        <v>1988.1189999999999</v>
      </c>
      <c r="O18" s="491">
        <v>5509.4769999999999</v>
      </c>
      <c r="P18" s="491">
        <v>1995.5150000000001</v>
      </c>
      <c r="Q18" s="491">
        <v>2059.6089999999999</v>
      </c>
      <c r="R18" s="491">
        <v>1285.4859999999999</v>
      </c>
      <c r="S18" s="491">
        <v>168.86699999999999</v>
      </c>
    </row>
    <row r="19" spans="2:19" ht="15" thickBot="1">
      <c r="B19" s="484" t="s">
        <v>324</v>
      </c>
      <c r="C19" s="416">
        <f>100%</f>
        <v>1</v>
      </c>
      <c r="D19" s="416">
        <f>D18/C18</f>
        <v>0.26516752836509194</v>
      </c>
      <c r="E19" s="416">
        <f>E18/C18</f>
        <v>0.73483247163490795</v>
      </c>
      <c r="F19" s="416">
        <f>F18/E18</f>
        <v>0.36219681105847257</v>
      </c>
      <c r="G19" s="416">
        <f>G18/E18</f>
        <v>0.37383022018242384</v>
      </c>
      <c r="H19" s="416">
        <f>H18/E18</f>
        <v>0.23332269106486875</v>
      </c>
      <c r="I19" s="485">
        <f>I18/E18</f>
        <v>3.0650277694234861E-2</v>
      </c>
      <c r="L19" s="491" t="s">
        <v>324</v>
      </c>
      <c r="M19" s="491">
        <v>1</v>
      </c>
      <c r="N19" s="491">
        <v>0.26516752836509194</v>
      </c>
      <c r="O19" s="491">
        <v>0.73483247163490795</v>
      </c>
      <c r="P19" s="491">
        <v>0.36219681105847257</v>
      </c>
      <c r="Q19" s="491">
        <v>0.37383022018242384</v>
      </c>
      <c r="R19" s="491">
        <v>0.23332269106486875</v>
      </c>
      <c r="S19" s="491">
        <v>3.0650277694234861E-2</v>
      </c>
    </row>
    <row r="20" spans="2:19">
      <c r="B20" s="417" t="s">
        <v>325</v>
      </c>
      <c r="C20" s="418"/>
      <c r="D20" s="418"/>
      <c r="E20" s="418"/>
      <c r="F20" s="418"/>
      <c r="G20" s="418"/>
      <c r="H20" s="418"/>
      <c r="I20" s="419"/>
      <c r="L20" s="491" t="s">
        <v>325</v>
      </c>
      <c r="M20" s="491"/>
      <c r="N20" s="491"/>
      <c r="O20" s="491"/>
      <c r="P20" s="491"/>
      <c r="Q20" s="491"/>
      <c r="R20" s="491"/>
      <c r="S20" s="491"/>
    </row>
    <row r="21" spans="2:19">
      <c r="B21" s="431" t="s">
        <v>326</v>
      </c>
      <c r="C21" s="429"/>
      <c r="D21" s="429"/>
      <c r="E21" s="429"/>
      <c r="F21" s="429"/>
      <c r="G21" s="429"/>
      <c r="H21" s="429"/>
      <c r="I21" s="430"/>
      <c r="L21" s="491" t="s">
        <v>326</v>
      </c>
      <c r="M21" s="491"/>
      <c r="N21" s="491"/>
      <c r="O21" s="491"/>
      <c r="P21" s="491"/>
      <c r="Q21" s="491"/>
      <c r="R21" s="491"/>
      <c r="S21" s="491"/>
    </row>
    <row r="22" spans="2:19" ht="15" thickBot="1">
      <c r="B22" s="420" t="s">
        <v>327</v>
      </c>
      <c r="C22" s="421"/>
      <c r="D22" s="421"/>
      <c r="E22" s="421"/>
      <c r="F22" s="421"/>
      <c r="G22" s="421"/>
      <c r="H22" s="421"/>
      <c r="I22" s="422"/>
      <c r="L22" s="491" t="s">
        <v>327</v>
      </c>
      <c r="M22" s="491"/>
      <c r="N22" s="491"/>
      <c r="O22" s="491"/>
      <c r="P22" s="491"/>
      <c r="Q22" s="491"/>
      <c r="R22" s="491"/>
      <c r="S22" s="491"/>
    </row>
    <row r="23" spans="2:19">
      <c r="B23" s="486"/>
      <c r="I23" s="487"/>
      <c r="L23" s="491"/>
      <c r="M23" s="491"/>
      <c r="N23" s="491"/>
      <c r="O23" s="491"/>
      <c r="P23" s="491"/>
      <c r="Q23" s="491"/>
      <c r="R23" s="491"/>
      <c r="S23" s="491"/>
    </row>
    <row r="24" spans="2:19">
      <c r="B24" s="488">
        <v>2023</v>
      </c>
      <c r="C24" s="410" t="s">
        <v>308</v>
      </c>
      <c r="D24" s="410" t="s">
        <v>309</v>
      </c>
      <c r="E24" s="410" t="s">
        <v>310</v>
      </c>
      <c r="F24" s="410" t="s">
        <v>19</v>
      </c>
      <c r="G24" s="410" t="s">
        <v>21</v>
      </c>
      <c r="H24" s="410" t="s">
        <v>23</v>
      </c>
      <c r="I24" s="479" t="s">
        <v>311</v>
      </c>
      <c r="L24" s="491">
        <v>2023</v>
      </c>
      <c r="M24" s="491" t="s">
        <v>308</v>
      </c>
      <c r="N24" s="491" t="s">
        <v>309</v>
      </c>
      <c r="O24" s="491" t="s">
        <v>310</v>
      </c>
      <c r="P24" s="491" t="s">
        <v>19</v>
      </c>
      <c r="Q24" s="491" t="s">
        <v>21</v>
      </c>
      <c r="R24" s="491" t="s">
        <v>23</v>
      </c>
      <c r="S24" s="491" t="s">
        <v>311</v>
      </c>
    </row>
    <row r="25" spans="2:19">
      <c r="B25" s="478"/>
      <c r="C25" s="410" t="s">
        <v>17</v>
      </c>
      <c r="D25" s="410" t="s">
        <v>17</v>
      </c>
      <c r="E25" s="410" t="s">
        <v>17</v>
      </c>
      <c r="F25" s="410" t="s">
        <v>17</v>
      </c>
      <c r="G25" s="410" t="s">
        <v>17</v>
      </c>
      <c r="H25" s="410" t="s">
        <v>17</v>
      </c>
      <c r="I25" s="479" t="s">
        <v>17</v>
      </c>
      <c r="L25" s="491"/>
      <c r="M25" s="491" t="s">
        <v>17</v>
      </c>
      <c r="N25" s="491" t="s">
        <v>17</v>
      </c>
      <c r="O25" s="491" t="s">
        <v>17</v>
      </c>
      <c r="P25" s="491" t="s">
        <v>17</v>
      </c>
      <c r="Q25" s="491" t="s">
        <v>17</v>
      </c>
      <c r="R25" s="491" t="s">
        <v>17</v>
      </c>
      <c r="S25" s="491" t="s">
        <v>17</v>
      </c>
    </row>
    <row r="26" spans="2:19">
      <c r="B26" s="480" t="s">
        <v>312</v>
      </c>
      <c r="C26" s="414">
        <f>'2023'!E25</f>
        <v>1436.865</v>
      </c>
      <c r="D26" s="415">
        <f>C26-E26</f>
        <v>446.67500000000007</v>
      </c>
      <c r="E26" s="413">
        <f>'2023'!E29</f>
        <v>990.18999999999994</v>
      </c>
      <c r="F26" s="411">
        <f>'2023'!E31</f>
        <v>346.01600000000002</v>
      </c>
      <c r="G26" s="411">
        <f>'2023'!E32+'2023'!E34</f>
        <v>393.077</v>
      </c>
      <c r="H26" s="411">
        <f>'2023'!E33</f>
        <v>221.80699999999999</v>
      </c>
      <c r="I26" s="481">
        <f>'2023'!E41</f>
        <v>29.29</v>
      </c>
      <c r="L26" s="491" t="s">
        <v>312</v>
      </c>
      <c r="M26" s="491">
        <v>1436.865</v>
      </c>
      <c r="N26" s="491">
        <v>446.67500000000007</v>
      </c>
      <c r="O26" s="491">
        <v>990.18999999999994</v>
      </c>
      <c r="P26" s="491">
        <v>346.01600000000002</v>
      </c>
      <c r="Q26" s="491">
        <v>393.077</v>
      </c>
      <c r="R26" s="491">
        <v>221.80699999999999</v>
      </c>
      <c r="S26" s="491">
        <v>29.29</v>
      </c>
    </row>
    <row r="27" spans="2:19">
      <c r="B27" s="480" t="s">
        <v>313</v>
      </c>
      <c r="C27" s="414">
        <f>'2023'!F25</f>
        <v>1032.5120000000002</v>
      </c>
      <c r="D27" s="415">
        <f t="shared" ref="D27:D37" si="2">C27-E27</f>
        <v>282.33900000000006</v>
      </c>
      <c r="E27" s="413">
        <f>'2023'!F29</f>
        <v>750.17300000000012</v>
      </c>
      <c r="F27" s="411">
        <f>'2023'!F31</f>
        <v>263.07100000000003</v>
      </c>
      <c r="G27" s="411">
        <f>'2023'!F32+'2023'!F34</f>
        <v>281.71300000000002</v>
      </c>
      <c r="H27" s="411">
        <f>'2023'!F33</f>
        <v>183.22499999999999</v>
      </c>
      <c r="I27" s="481">
        <f>'2023'!F41</f>
        <v>22.164000000000001</v>
      </c>
      <c r="L27" s="491" t="s">
        <v>313</v>
      </c>
      <c r="M27" s="491">
        <v>1032.5120000000002</v>
      </c>
      <c r="N27" s="491">
        <v>282.33900000000006</v>
      </c>
      <c r="O27" s="491">
        <v>750.17300000000012</v>
      </c>
      <c r="P27" s="491">
        <v>263.07100000000003</v>
      </c>
      <c r="Q27" s="491">
        <v>281.71300000000002</v>
      </c>
      <c r="R27" s="491">
        <v>183.22499999999999</v>
      </c>
      <c r="S27" s="491">
        <v>22.164000000000001</v>
      </c>
    </row>
    <row r="28" spans="2:19">
      <c r="B28" s="480" t="s">
        <v>314</v>
      </c>
      <c r="C28" s="414">
        <f>'2023'!G25</f>
        <v>860.03500000000008</v>
      </c>
      <c r="D28" s="415">
        <f t="shared" si="2"/>
        <v>137.35799999999995</v>
      </c>
      <c r="E28" s="413">
        <f>'2023'!G29</f>
        <v>722.67700000000013</v>
      </c>
      <c r="F28" s="411">
        <f>'2023'!G31</f>
        <v>248.16200000000001</v>
      </c>
      <c r="G28" s="411">
        <f>'2023'!G32+'2023'!G34</f>
        <v>279.67899999999997</v>
      </c>
      <c r="H28" s="411">
        <f>'2023'!G33</f>
        <v>173.935</v>
      </c>
      <c r="I28" s="481">
        <f>'2023'!G41</f>
        <v>20.901</v>
      </c>
      <c r="L28" s="491" t="s">
        <v>314</v>
      </c>
      <c r="M28" s="491">
        <v>860.03500000000008</v>
      </c>
      <c r="N28" s="491">
        <v>137.35799999999995</v>
      </c>
      <c r="O28" s="491">
        <v>722.67700000000013</v>
      </c>
      <c r="P28" s="491">
        <v>248.16200000000001</v>
      </c>
      <c r="Q28" s="491">
        <v>279.67899999999997</v>
      </c>
      <c r="R28" s="491">
        <v>173.935</v>
      </c>
      <c r="S28" s="491">
        <v>20.901</v>
      </c>
    </row>
    <row r="29" spans="2:19">
      <c r="B29" s="480" t="s">
        <v>315</v>
      </c>
      <c r="C29" s="414">
        <f>'2023'!H25</f>
        <v>872.55</v>
      </c>
      <c r="D29" s="415">
        <f t="shared" si="2"/>
        <v>157.92200000000003</v>
      </c>
      <c r="E29" s="413">
        <f>'2023'!H29</f>
        <v>714.62799999999993</v>
      </c>
      <c r="F29" s="411">
        <f>'2023'!H31</f>
        <v>254.643</v>
      </c>
      <c r="G29" s="411">
        <f>'2023'!H32+'2023'!H34</f>
        <v>267.23099999999999</v>
      </c>
      <c r="H29" s="411">
        <f>'2023'!H33</f>
        <v>171.25700000000001</v>
      </c>
      <c r="I29" s="481">
        <f>'2023'!H41</f>
        <v>21.497</v>
      </c>
      <c r="L29" s="491" t="s">
        <v>315</v>
      </c>
      <c r="M29" s="491">
        <v>872.55</v>
      </c>
      <c r="N29" s="491">
        <v>157.92200000000003</v>
      </c>
      <c r="O29" s="491">
        <v>714.62799999999993</v>
      </c>
      <c r="P29" s="491">
        <v>254.643</v>
      </c>
      <c r="Q29" s="491">
        <v>267.23099999999999</v>
      </c>
      <c r="R29" s="491">
        <v>171.25700000000001</v>
      </c>
      <c r="S29" s="491">
        <v>21.497</v>
      </c>
    </row>
    <row r="30" spans="2:19">
      <c r="B30" s="480" t="s">
        <v>316</v>
      </c>
      <c r="C30" s="414">
        <f>'2023'!I25</f>
        <v>976.33699999999999</v>
      </c>
      <c r="D30" s="415">
        <f t="shared" si="2"/>
        <v>151.52099999999996</v>
      </c>
      <c r="E30" s="413">
        <f>'2023'!I29</f>
        <v>824.81600000000003</v>
      </c>
      <c r="F30" s="411">
        <f>'2023'!I31</f>
        <v>253.58799999999999</v>
      </c>
      <c r="G30" s="411">
        <f>'2023'!I32+'2023'!I34</f>
        <v>336.31</v>
      </c>
      <c r="H30" s="411">
        <f>'2023'!I33</f>
        <v>213.672</v>
      </c>
      <c r="I30" s="481">
        <f>'2023'!I41</f>
        <v>21.246000000000002</v>
      </c>
      <c r="L30" s="491" t="s">
        <v>316</v>
      </c>
      <c r="M30" s="491">
        <v>976.33699999999999</v>
      </c>
      <c r="N30" s="491">
        <v>151.52099999999996</v>
      </c>
      <c r="O30" s="491">
        <v>824.81600000000003</v>
      </c>
      <c r="P30" s="491">
        <v>253.58799999999999</v>
      </c>
      <c r="Q30" s="491">
        <v>336.31</v>
      </c>
      <c r="R30" s="491">
        <v>213.672</v>
      </c>
      <c r="S30" s="491">
        <v>21.246000000000002</v>
      </c>
    </row>
    <row r="31" spans="2:19">
      <c r="B31" s="480" t="s">
        <v>317</v>
      </c>
      <c r="C31" s="414">
        <f>'2023'!J25</f>
        <v>1134.0260000000001</v>
      </c>
      <c r="D31" s="415">
        <f t="shared" si="2"/>
        <v>201.43100000000004</v>
      </c>
      <c r="E31" s="413">
        <f>'2023'!J29</f>
        <v>932.59500000000003</v>
      </c>
      <c r="F31" s="411">
        <f>'2023'!J31</f>
        <v>340.22899999999998</v>
      </c>
      <c r="G31" s="411">
        <f>'2023'!J32+'2023'!J34</f>
        <v>341.80799999999999</v>
      </c>
      <c r="H31" s="411">
        <f>'2023'!J33</f>
        <v>221.786</v>
      </c>
      <c r="I31" s="481">
        <f>'2023'!J41</f>
        <v>28.772000000000002</v>
      </c>
      <c r="L31" s="491" t="s">
        <v>317</v>
      </c>
      <c r="M31" s="491">
        <v>1134.0260000000001</v>
      </c>
      <c r="N31" s="491">
        <v>201.43100000000004</v>
      </c>
      <c r="O31" s="491">
        <v>932.59500000000003</v>
      </c>
      <c r="P31" s="491">
        <v>340.22899999999998</v>
      </c>
      <c r="Q31" s="491">
        <v>341.80799999999999</v>
      </c>
      <c r="R31" s="491">
        <v>221.786</v>
      </c>
      <c r="S31" s="491">
        <v>28.772000000000002</v>
      </c>
    </row>
    <row r="32" spans="2:19">
      <c r="B32" s="480" t="s">
        <v>318</v>
      </c>
      <c r="C32" s="414">
        <f>'2023'!K25</f>
        <v>1886.3010000000002</v>
      </c>
      <c r="D32" s="415">
        <f t="shared" si="2"/>
        <v>979.24699999999984</v>
      </c>
      <c r="E32" s="413">
        <f>'2023'!K29</f>
        <v>907.05400000000031</v>
      </c>
      <c r="F32" s="411">
        <f>'2023'!K31</f>
        <v>318.68599999999998</v>
      </c>
      <c r="G32" s="411">
        <f>'2023'!K32+'2023'!K34</f>
        <v>343.42599999999999</v>
      </c>
      <c r="H32" s="411">
        <f>'2023'!K33</f>
        <v>218.06399999999999</v>
      </c>
      <c r="I32" s="481">
        <f>'2023'!K41</f>
        <v>26.878</v>
      </c>
      <c r="L32" s="491" t="s">
        <v>318</v>
      </c>
      <c r="M32" s="491">
        <v>1886.3010000000002</v>
      </c>
      <c r="N32" s="491">
        <v>979.24699999999984</v>
      </c>
      <c r="O32" s="491">
        <v>907.05400000000031</v>
      </c>
      <c r="P32" s="491">
        <v>318.68599999999998</v>
      </c>
      <c r="Q32" s="491">
        <v>343.42599999999999</v>
      </c>
      <c r="R32" s="491">
        <v>218.06399999999999</v>
      </c>
      <c r="S32" s="491">
        <v>26.878</v>
      </c>
    </row>
    <row r="33" spans="2:19">
      <c r="B33" s="480" t="s">
        <v>319</v>
      </c>
      <c r="C33" s="414">
        <f>'2023'!L25</f>
        <v>1802.8020000000001</v>
      </c>
      <c r="D33" s="415">
        <f t="shared" si="2"/>
        <v>798.62699999999995</v>
      </c>
      <c r="E33" s="413">
        <f>'2023'!L29</f>
        <v>1004.1750000000002</v>
      </c>
      <c r="F33" s="411">
        <f>'2023'!L31</f>
        <v>361.37400000000002</v>
      </c>
      <c r="G33" s="411">
        <f>'2023'!L32+'2023'!L34</f>
        <v>376.012</v>
      </c>
      <c r="H33" s="411">
        <f>'2023'!L33</f>
        <v>236.232</v>
      </c>
      <c r="I33" s="481">
        <f>'2023'!L41</f>
        <v>30.556999999999999</v>
      </c>
      <c r="L33" s="491" t="s">
        <v>319</v>
      </c>
      <c r="M33" s="491">
        <v>1802.8020000000001</v>
      </c>
      <c r="N33" s="491">
        <v>798.62699999999995</v>
      </c>
      <c r="O33" s="491">
        <v>1004.1750000000002</v>
      </c>
      <c r="P33" s="491">
        <v>361.37400000000002</v>
      </c>
      <c r="Q33" s="491">
        <v>376.012</v>
      </c>
      <c r="R33" s="491">
        <v>236.232</v>
      </c>
      <c r="S33" s="491">
        <v>30.556999999999999</v>
      </c>
    </row>
    <row r="34" spans="2:19">
      <c r="B34" s="480" t="s">
        <v>320</v>
      </c>
      <c r="C34" s="414">
        <f>'2023'!M25</f>
        <v>1483.904</v>
      </c>
      <c r="D34" s="415">
        <f t="shared" si="2"/>
        <v>383.80100000000016</v>
      </c>
      <c r="E34" s="413">
        <f>'2023'!M29</f>
        <v>1100.1029999999998</v>
      </c>
      <c r="F34" s="411">
        <f>'2023'!M31</f>
        <v>397.666</v>
      </c>
      <c r="G34" s="411">
        <f>'2023'!M32+'2023'!M34</f>
        <v>402.31900000000002</v>
      </c>
      <c r="H34" s="411">
        <f>'2023'!M33</f>
        <v>266.53899999999999</v>
      </c>
      <c r="I34" s="481">
        <f>'2023'!M41</f>
        <v>33.579000000000001</v>
      </c>
      <c r="L34" s="491" t="s">
        <v>320</v>
      </c>
      <c r="M34" s="491">
        <v>1483.904</v>
      </c>
      <c r="N34" s="491">
        <v>383.80100000000016</v>
      </c>
      <c r="O34" s="491">
        <v>1100.1029999999998</v>
      </c>
      <c r="P34" s="491">
        <v>397.666</v>
      </c>
      <c r="Q34" s="491">
        <v>402.31900000000002</v>
      </c>
      <c r="R34" s="491">
        <v>266.53899999999999</v>
      </c>
      <c r="S34" s="491">
        <v>33.579000000000001</v>
      </c>
    </row>
    <row r="35" spans="2:19">
      <c r="B35" s="480" t="s">
        <v>321</v>
      </c>
      <c r="C35" s="414">
        <f>'2023'!N25</f>
        <v>1594.7640000000001</v>
      </c>
      <c r="D35" s="415">
        <f t="shared" si="2"/>
        <v>691.2829999999999</v>
      </c>
      <c r="E35" s="413">
        <f>'2023'!N29</f>
        <v>903.48100000000022</v>
      </c>
      <c r="F35" s="411">
        <f>'2023'!N31</f>
        <v>295.66800000000001</v>
      </c>
      <c r="G35" s="411">
        <f>'2023'!N32+'2023'!N34</f>
        <v>372.03699999999998</v>
      </c>
      <c r="H35" s="411">
        <f>'2023'!N33</f>
        <v>210.9</v>
      </c>
      <c r="I35" s="481">
        <f>'2023'!N41</f>
        <v>24.875999999999998</v>
      </c>
      <c r="L35" s="491" t="s">
        <v>321</v>
      </c>
      <c r="M35" s="491">
        <v>1594.7640000000001</v>
      </c>
      <c r="N35" s="491">
        <v>691.2829999999999</v>
      </c>
      <c r="O35" s="491">
        <v>903.48100000000022</v>
      </c>
      <c r="P35" s="491">
        <v>295.66800000000001</v>
      </c>
      <c r="Q35" s="491">
        <v>372.03699999999998</v>
      </c>
      <c r="R35" s="491">
        <v>210.9</v>
      </c>
      <c r="S35" s="491">
        <v>24.875999999999998</v>
      </c>
    </row>
    <row r="36" spans="2:19">
      <c r="B36" s="480" t="s">
        <v>322</v>
      </c>
      <c r="C36" s="414">
        <f>'2023'!O25</f>
        <v>1346.52</v>
      </c>
      <c r="D36" s="415">
        <f t="shared" si="2"/>
        <v>439.56399999999996</v>
      </c>
      <c r="E36" s="413">
        <f>'2023'!O29</f>
        <v>906.95600000000002</v>
      </c>
      <c r="F36" s="411">
        <f>'2023'!O31</f>
        <v>298.34199999999998</v>
      </c>
      <c r="G36" s="411">
        <f>'2023'!O32+'2023'!O34</f>
        <v>358.392</v>
      </c>
      <c r="H36" s="411">
        <f>'2023'!O33</f>
        <v>225.21</v>
      </c>
      <c r="I36" s="481">
        <f>'2023'!O41</f>
        <v>25.012</v>
      </c>
      <c r="L36" s="491" t="s">
        <v>322</v>
      </c>
      <c r="M36" s="491">
        <v>1346.52</v>
      </c>
      <c r="N36" s="491">
        <v>439.56399999999996</v>
      </c>
      <c r="O36" s="491">
        <v>906.95600000000002</v>
      </c>
      <c r="P36" s="491">
        <v>298.34199999999998</v>
      </c>
      <c r="Q36" s="491">
        <v>358.392</v>
      </c>
      <c r="R36" s="491">
        <v>225.21</v>
      </c>
      <c r="S36" s="491">
        <v>25.012</v>
      </c>
    </row>
    <row r="37" spans="2:19">
      <c r="B37" s="480" t="s">
        <v>323</v>
      </c>
      <c r="C37" s="414">
        <f>'2023'!P25</f>
        <v>1620.3339999999998</v>
      </c>
      <c r="D37" s="415">
        <f t="shared" si="2"/>
        <v>531.55200000000013</v>
      </c>
      <c r="E37" s="413">
        <f>'2023'!P29</f>
        <v>1088.7819999999997</v>
      </c>
      <c r="F37" s="411">
        <f>'2023'!P31</f>
        <v>371.56200000000001</v>
      </c>
      <c r="G37" s="411">
        <f>'2023'!P32+'2023'!P34</f>
        <v>427.10599999999999</v>
      </c>
      <c r="H37" s="411">
        <f>'2023'!P33</f>
        <v>258.81</v>
      </c>
      <c r="I37" s="481">
        <f>'2023'!P41</f>
        <v>31.303999999999998</v>
      </c>
      <c r="L37" s="491" t="s">
        <v>323</v>
      </c>
      <c r="M37" s="491">
        <v>1620.3339999999998</v>
      </c>
      <c r="N37" s="491">
        <v>531.55200000000013</v>
      </c>
      <c r="O37" s="491">
        <v>1088.7819999999997</v>
      </c>
      <c r="P37" s="491">
        <v>371.56200000000001</v>
      </c>
      <c r="Q37" s="491">
        <v>427.10599999999999</v>
      </c>
      <c r="R37" s="491">
        <v>258.81</v>
      </c>
      <c r="S37" s="491">
        <v>31.303999999999998</v>
      </c>
    </row>
    <row r="38" spans="2:19">
      <c r="B38" s="482" t="s">
        <v>25</v>
      </c>
      <c r="C38" s="412">
        <f>SUM(C26:C37)</f>
        <v>16046.95</v>
      </c>
      <c r="D38" s="412">
        <f>SUM(D26:D37)</f>
        <v>5201.32</v>
      </c>
      <c r="E38" s="412">
        <f t="shared" ref="E38" si="3">SUM(E26:E37)</f>
        <v>10845.63</v>
      </c>
      <c r="F38" s="412">
        <f t="shared" ref="F38" si="4">SUM(F26:F37)</f>
        <v>3749.0070000000005</v>
      </c>
      <c r="G38" s="412">
        <f t="shared" ref="G38" si="5">SUM(G26:G37)</f>
        <v>4179.1099999999997</v>
      </c>
      <c r="H38" s="412">
        <f t="shared" ref="H38" si="6">SUM(H26:H37)</f>
        <v>2601.4369999999999</v>
      </c>
      <c r="I38" s="483">
        <f t="shared" ref="I38" si="7">SUM(I26:I37)</f>
        <v>316.07599999999996</v>
      </c>
      <c r="L38" s="491" t="s">
        <v>25</v>
      </c>
      <c r="M38" s="491">
        <v>16046.95</v>
      </c>
      <c r="N38" s="491">
        <v>5201.32</v>
      </c>
      <c r="O38" s="491">
        <v>10845.63</v>
      </c>
      <c r="P38" s="491">
        <v>3749.0070000000005</v>
      </c>
      <c r="Q38" s="491">
        <v>4179.1099999999997</v>
      </c>
      <c r="R38" s="491">
        <v>2601.4369999999999</v>
      </c>
      <c r="S38" s="491">
        <v>316.07599999999996</v>
      </c>
    </row>
    <row r="39" spans="2:19" ht="15" thickBot="1">
      <c r="B39" s="484" t="s">
        <v>324</v>
      </c>
      <c r="C39" s="416">
        <f>100%</f>
        <v>1</v>
      </c>
      <c r="D39" s="416">
        <f>D38/C38</f>
        <v>0.32413137699064304</v>
      </c>
      <c r="E39" s="416">
        <f>E38/C38</f>
        <v>0.67586862300935679</v>
      </c>
      <c r="F39" s="416">
        <f>F38/E38</f>
        <v>0.34566982277654695</v>
      </c>
      <c r="G39" s="416">
        <f>G38/E38</f>
        <v>0.38532662464052342</v>
      </c>
      <c r="H39" s="416">
        <f>H38/E38</f>
        <v>0.23986038616475022</v>
      </c>
      <c r="I39" s="485">
        <f>I38/E38</f>
        <v>2.9143166418179486E-2</v>
      </c>
      <c r="L39" s="491" t="s">
        <v>324</v>
      </c>
      <c r="M39" s="491">
        <v>1</v>
      </c>
      <c r="N39" s="491">
        <v>0.32413137699064304</v>
      </c>
      <c r="O39" s="491">
        <v>0.67586862300935679</v>
      </c>
      <c r="P39" s="491">
        <v>0.34566982277654695</v>
      </c>
      <c r="Q39" s="491">
        <v>0.38532662464052342</v>
      </c>
      <c r="R39" s="491">
        <v>0.23986038616475022</v>
      </c>
      <c r="S39" s="491">
        <v>2.9143166418179486E-2</v>
      </c>
    </row>
    <row r="40" spans="2:19">
      <c r="B40" s="417" t="s">
        <v>325</v>
      </c>
      <c r="C40" s="418"/>
      <c r="D40" s="418"/>
      <c r="E40" s="418"/>
      <c r="F40" s="418"/>
      <c r="G40" s="418"/>
      <c r="H40" s="418"/>
      <c r="I40" s="419"/>
      <c r="L40" s="491" t="s">
        <v>325</v>
      </c>
      <c r="M40" s="491"/>
      <c r="N40" s="491"/>
      <c r="O40" s="491"/>
      <c r="P40" s="491"/>
      <c r="Q40" s="491"/>
      <c r="R40" s="491"/>
      <c r="S40" s="491"/>
    </row>
    <row r="41" spans="2:19">
      <c r="B41" s="431" t="s">
        <v>326</v>
      </c>
      <c r="C41" s="429"/>
      <c r="D41" s="429"/>
      <c r="E41" s="429"/>
      <c r="F41" s="429"/>
      <c r="G41" s="429"/>
      <c r="H41" s="429"/>
      <c r="I41" s="430"/>
      <c r="L41" s="491" t="s">
        <v>326</v>
      </c>
      <c r="M41" s="491"/>
      <c r="N41" s="491"/>
      <c r="O41" s="491"/>
      <c r="P41" s="491"/>
      <c r="Q41" s="491"/>
      <c r="R41" s="491"/>
      <c r="S41" s="491"/>
    </row>
    <row r="42" spans="2:19" ht="15" thickBot="1">
      <c r="B42" s="420" t="s">
        <v>327</v>
      </c>
      <c r="C42" s="421"/>
      <c r="D42" s="421"/>
      <c r="E42" s="421"/>
      <c r="F42" s="421"/>
      <c r="G42" s="421"/>
      <c r="H42" s="421"/>
      <c r="I42" s="422"/>
      <c r="L42" s="491" t="s">
        <v>327</v>
      </c>
      <c r="M42" s="491"/>
      <c r="N42" s="491"/>
      <c r="O42" s="491"/>
      <c r="P42" s="491"/>
      <c r="Q42" s="491"/>
      <c r="R42" s="491"/>
      <c r="S42" s="491"/>
    </row>
    <row r="43" spans="2:19">
      <c r="B43" s="486"/>
      <c r="I43" s="487"/>
      <c r="L43" s="491"/>
      <c r="M43" s="491"/>
      <c r="N43" s="491"/>
      <c r="O43" s="491"/>
      <c r="P43" s="491"/>
      <c r="Q43" s="491"/>
      <c r="R43" s="491"/>
      <c r="S43" s="491"/>
    </row>
    <row r="44" spans="2:19">
      <c r="B44" s="488">
        <v>2024</v>
      </c>
      <c r="C44" s="410" t="s">
        <v>308</v>
      </c>
      <c r="D44" s="410" t="s">
        <v>309</v>
      </c>
      <c r="E44" s="410" t="s">
        <v>310</v>
      </c>
      <c r="F44" s="410" t="s">
        <v>19</v>
      </c>
      <c r="G44" s="410" t="s">
        <v>21</v>
      </c>
      <c r="H44" s="410" t="s">
        <v>23</v>
      </c>
      <c r="I44" s="479" t="s">
        <v>311</v>
      </c>
      <c r="L44" s="491">
        <v>2024</v>
      </c>
      <c r="M44" s="491" t="s">
        <v>308</v>
      </c>
      <c r="N44" s="491" t="s">
        <v>309</v>
      </c>
      <c r="O44" s="491" t="s">
        <v>310</v>
      </c>
      <c r="P44" s="491" t="s">
        <v>19</v>
      </c>
      <c r="Q44" s="491" t="s">
        <v>21</v>
      </c>
      <c r="R44" s="491" t="s">
        <v>23</v>
      </c>
      <c r="S44" s="491" t="s">
        <v>311</v>
      </c>
    </row>
    <row r="45" spans="2:19">
      <c r="B45" s="478"/>
      <c r="C45" s="410" t="s">
        <v>17</v>
      </c>
      <c r="D45" s="410" t="s">
        <v>17</v>
      </c>
      <c r="E45" s="410" t="s">
        <v>17</v>
      </c>
      <c r="F45" s="410" t="s">
        <v>17</v>
      </c>
      <c r="G45" s="410" t="s">
        <v>17</v>
      </c>
      <c r="H45" s="410" t="s">
        <v>17</v>
      </c>
      <c r="I45" s="479" t="s">
        <v>17</v>
      </c>
      <c r="L45" s="491"/>
      <c r="M45" s="491" t="s">
        <v>17</v>
      </c>
      <c r="N45" s="491" t="s">
        <v>17</v>
      </c>
      <c r="O45" s="491" t="s">
        <v>17</v>
      </c>
      <c r="P45" s="491" t="s">
        <v>17</v>
      </c>
      <c r="Q45" s="491" t="s">
        <v>17</v>
      </c>
      <c r="R45" s="491" t="s">
        <v>17</v>
      </c>
      <c r="S45" s="491" t="s">
        <v>17</v>
      </c>
    </row>
    <row r="46" spans="2:19">
      <c r="B46" s="480" t="s">
        <v>312</v>
      </c>
      <c r="C46" s="414">
        <f>'2024'!E25</f>
        <v>1674.23</v>
      </c>
      <c r="D46" s="415">
        <f>C46-E46</f>
        <v>546.82199999999989</v>
      </c>
      <c r="E46" s="413">
        <f>'2024'!E29</f>
        <v>1127.4080000000001</v>
      </c>
      <c r="F46" s="411">
        <f>'2024'!E31</f>
        <v>354.31950828595399</v>
      </c>
      <c r="G46" s="411">
        <f>'2024'!E32+'2024'!E34</f>
        <v>454.60749713907984</v>
      </c>
      <c r="H46" s="411">
        <f>'2024'!E33</f>
        <v>288.9280907741109</v>
      </c>
      <c r="I46" s="481">
        <f>'2024'!E41</f>
        <v>29.552837074722802</v>
      </c>
      <c r="L46" s="491" t="s">
        <v>312</v>
      </c>
      <c r="M46" s="491">
        <v>1674.23</v>
      </c>
      <c r="N46" s="491">
        <v>546.82199999999989</v>
      </c>
      <c r="O46" s="491">
        <v>1127.4080000000001</v>
      </c>
      <c r="P46" s="491">
        <v>354.31950828595399</v>
      </c>
      <c r="Q46" s="491">
        <v>454.60749713907984</v>
      </c>
      <c r="R46" s="491">
        <v>288.9280907741109</v>
      </c>
      <c r="S46" s="491">
        <v>29.552837074722802</v>
      </c>
    </row>
    <row r="47" spans="2:19">
      <c r="B47" s="480" t="s">
        <v>313</v>
      </c>
      <c r="C47" s="414">
        <f>'2024'!F25</f>
        <v>2068.1549999999997</v>
      </c>
      <c r="D47" s="415">
        <f t="shared" ref="D47:D57" si="8">C47-E47</f>
        <v>918.33800000000019</v>
      </c>
      <c r="E47" s="413">
        <f>'2024'!F29</f>
        <v>1149.8169999999996</v>
      </c>
      <c r="F47" s="411">
        <f>'2024'!F31</f>
        <v>375.72779727111998</v>
      </c>
      <c r="G47" s="411">
        <f>'2024'!F32+'2024'!F34</f>
        <v>464.50762143033603</v>
      </c>
      <c r="H47" s="411">
        <f>'2024'!F33</f>
        <v>278.04157677979259</v>
      </c>
      <c r="I47" s="481">
        <f>'2024'!F41</f>
        <v>31.539995399660398</v>
      </c>
      <c r="L47" s="491" t="s">
        <v>313</v>
      </c>
      <c r="M47" s="491">
        <v>2068.1549999999997</v>
      </c>
      <c r="N47" s="491">
        <v>918.33800000000019</v>
      </c>
      <c r="O47" s="491">
        <v>1149.8169999999996</v>
      </c>
      <c r="P47" s="491">
        <v>375.72779727111998</v>
      </c>
      <c r="Q47" s="491">
        <v>464.50762143033603</v>
      </c>
      <c r="R47" s="491">
        <v>278.04157677979259</v>
      </c>
      <c r="S47" s="491">
        <v>31.539995399660398</v>
      </c>
    </row>
    <row r="48" spans="2:19">
      <c r="B48" s="480" t="s">
        <v>314</v>
      </c>
      <c r="C48" s="414">
        <f>'2024'!G25</f>
        <v>2326.1489999999999</v>
      </c>
      <c r="D48" s="415">
        <f t="shared" si="8"/>
        <v>1173.393</v>
      </c>
      <c r="E48" s="413">
        <f>'2024'!G29</f>
        <v>1152.7559999999999</v>
      </c>
      <c r="F48" s="411">
        <f>'2024'!G31</f>
        <v>325.29108156822082</v>
      </c>
      <c r="G48" s="411">
        <f>'2024'!G32+'2024'!G34</f>
        <v>533.19463261971453</v>
      </c>
      <c r="H48" s="411">
        <f>'2024'!G33</f>
        <v>267.15211358938234</v>
      </c>
      <c r="I48" s="481">
        <f>'2024'!G41</f>
        <v>27.118178110112598</v>
      </c>
      <c r="L48" s="491" t="s">
        <v>314</v>
      </c>
      <c r="M48" s="491">
        <v>2326.1489999999999</v>
      </c>
      <c r="N48" s="491">
        <v>1173.393</v>
      </c>
      <c r="O48" s="491">
        <v>1152.7559999999999</v>
      </c>
      <c r="P48" s="491">
        <v>325.29108156822082</v>
      </c>
      <c r="Q48" s="491">
        <v>533.19463261971453</v>
      </c>
      <c r="R48" s="491">
        <v>267.15211358938234</v>
      </c>
      <c r="S48" s="491">
        <v>27.118178110112598</v>
      </c>
    </row>
    <row r="49" spans="2:19">
      <c r="B49" s="480" t="s">
        <v>315</v>
      </c>
      <c r="C49" s="414">
        <f>'2024'!H25</f>
        <v>1867.807</v>
      </c>
      <c r="D49" s="415">
        <f t="shared" si="8"/>
        <v>744.41700000000014</v>
      </c>
      <c r="E49" s="413">
        <f>'2024'!H29</f>
        <v>1123.3899999999999</v>
      </c>
      <c r="F49" s="411">
        <f>'2024'!H31</f>
        <v>319.44594528871301</v>
      </c>
      <c r="G49" s="411">
        <f>'2024'!H32+'2024'!H34</f>
        <v>488.81343190726096</v>
      </c>
      <c r="H49" s="411">
        <f>'2024'!H33</f>
        <v>288.68828247156273</v>
      </c>
      <c r="I49" s="481">
        <f>'2024'!H41</f>
        <v>26.443615593243798</v>
      </c>
      <c r="L49" s="491" t="s">
        <v>315</v>
      </c>
      <c r="M49" s="491">
        <v>1867.807</v>
      </c>
      <c r="N49" s="491">
        <v>744.41700000000014</v>
      </c>
      <c r="O49" s="491">
        <v>1123.3899999999999</v>
      </c>
      <c r="P49" s="491">
        <v>319.44594528871301</v>
      </c>
      <c r="Q49" s="491">
        <v>488.81343190726096</v>
      </c>
      <c r="R49" s="491">
        <v>288.68828247156273</v>
      </c>
      <c r="S49" s="491">
        <v>26.443615593243798</v>
      </c>
    </row>
    <row r="50" spans="2:19">
      <c r="B50" s="480" t="s">
        <v>316</v>
      </c>
      <c r="C50" s="414">
        <f>'2024'!I25</f>
        <v>2192.0770000000002</v>
      </c>
      <c r="D50" s="415">
        <f t="shared" si="8"/>
        <v>983.99599999999987</v>
      </c>
      <c r="E50" s="413">
        <f>'2024'!I29</f>
        <v>1208.0810000000004</v>
      </c>
      <c r="F50" s="411">
        <f>'2024'!I31</f>
        <v>360.35520432840718</v>
      </c>
      <c r="G50" s="411">
        <f>'2024'!I32+'2024'!I34</f>
        <v>523.85243300036245</v>
      </c>
      <c r="H50" s="411">
        <f>'2024'!I33</f>
        <v>293.81728687630829</v>
      </c>
      <c r="I50" s="481">
        <f>'2024'!I41</f>
        <v>30.056489936541201</v>
      </c>
      <c r="L50" s="491" t="s">
        <v>316</v>
      </c>
      <c r="M50" s="491">
        <v>2192.0770000000002</v>
      </c>
      <c r="N50" s="491">
        <v>983.99599999999987</v>
      </c>
      <c r="O50" s="491">
        <v>1208.0810000000004</v>
      </c>
      <c r="P50" s="491">
        <v>360.35520432840718</v>
      </c>
      <c r="Q50" s="491">
        <v>523.85243300036245</v>
      </c>
      <c r="R50" s="491">
        <v>293.81728687630829</v>
      </c>
      <c r="S50" s="491">
        <v>30.056489936541201</v>
      </c>
    </row>
    <row r="51" spans="2:19">
      <c r="B51" s="480" t="s">
        <v>317</v>
      </c>
      <c r="C51" s="414">
        <f>'2024'!J25</f>
        <v>2324.7919999999999</v>
      </c>
      <c r="D51" s="415">
        <f t="shared" si="8"/>
        <v>1181.5819999999999</v>
      </c>
      <c r="E51" s="413">
        <f>'2024'!J29</f>
        <v>1143.21</v>
      </c>
      <c r="F51" s="411">
        <f>'2024'!J31</f>
        <v>337.69624577732691</v>
      </c>
      <c r="G51" s="411">
        <f>'2024'!J32+'2024'!J34</f>
        <v>494.92216733937124</v>
      </c>
      <c r="H51" s="411">
        <f>'2024'!J33</f>
        <v>282.47615004359142</v>
      </c>
      <c r="I51" s="481">
        <f>'2024'!J41</f>
        <v>28.115823625562705</v>
      </c>
      <c r="L51" s="491" t="s">
        <v>317</v>
      </c>
      <c r="M51" s="491">
        <v>2324.7919999999999</v>
      </c>
      <c r="N51" s="491">
        <v>1181.5819999999999</v>
      </c>
      <c r="O51" s="491">
        <v>1143.21</v>
      </c>
      <c r="P51" s="491">
        <v>337.69624577732691</v>
      </c>
      <c r="Q51" s="491">
        <v>494.92216733937124</v>
      </c>
      <c r="R51" s="491">
        <v>282.47615004359142</v>
      </c>
      <c r="S51" s="491">
        <v>28.115823625562705</v>
      </c>
    </row>
    <row r="52" spans="2:19">
      <c r="B52" s="480" t="s">
        <v>318</v>
      </c>
      <c r="C52" s="414">
        <f>'2024'!K25</f>
        <v>2483.89</v>
      </c>
      <c r="D52" s="415">
        <f t="shared" si="8"/>
        <v>1129.519</v>
      </c>
      <c r="E52" s="413">
        <f>'2024'!K29</f>
        <v>1354.3709999999999</v>
      </c>
      <c r="F52" s="411">
        <f>'2024'!K31</f>
        <v>424.32014039377799</v>
      </c>
      <c r="G52" s="411">
        <f>'2024'!K32+'2024'!K34</f>
        <v>557.57589872211304</v>
      </c>
      <c r="H52" s="411">
        <f>'2024'!K33</f>
        <v>337.01890021695777</v>
      </c>
      <c r="I52" s="481">
        <f>'2024'!K41</f>
        <v>35.4553348004548</v>
      </c>
      <c r="L52" s="491" t="s">
        <v>318</v>
      </c>
      <c r="M52" s="491">
        <v>2483.89</v>
      </c>
      <c r="N52" s="491">
        <v>1129.519</v>
      </c>
      <c r="O52" s="491">
        <v>1354.3709999999999</v>
      </c>
      <c r="P52" s="491">
        <v>424.32014039377799</v>
      </c>
      <c r="Q52" s="491">
        <v>557.57589872211304</v>
      </c>
      <c r="R52" s="491">
        <v>337.01890021695777</v>
      </c>
      <c r="S52" s="491">
        <v>35.4553348004548</v>
      </c>
    </row>
    <row r="53" spans="2:19">
      <c r="B53" s="480" t="s">
        <v>319</v>
      </c>
      <c r="C53" s="414">
        <f>'2024'!L25</f>
        <v>2613.7910000000002</v>
      </c>
      <c r="D53" s="415">
        <f t="shared" si="8"/>
        <v>1255.7159999999999</v>
      </c>
      <c r="E53" s="413">
        <f>'2024'!L29</f>
        <v>1358.0750000000003</v>
      </c>
      <c r="F53" s="411">
        <f>'2024'!L31</f>
        <v>398.01763164494741</v>
      </c>
      <c r="G53" s="411">
        <f>'2024'!L32+'2024'!L34</f>
        <v>583.29294073193262</v>
      </c>
      <c r="H53" s="411">
        <f>'2024'!L33</f>
        <v>343.70326932686481</v>
      </c>
      <c r="I53" s="481">
        <f>'2024'!L41</f>
        <v>33.061464437665705</v>
      </c>
      <c r="L53" s="491" t="s">
        <v>319</v>
      </c>
      <c r="M53" s="491">
        <v>2613.7910000000002</v>
      </c>
      <c r="N53" s="491">
        <v>1255.7159999999999</v>
      </c>
      <c r="O53" s="491">
        <v>1358.0750000000003</v>
      </c>
      <c r="P53" s="491">
        <v>398.01763164494741</v>
      </c>
      <c r="Q53" s="491">
        <v>583.29294073193262</v>
      </c>
      <c r="R53" s="491">
        <v>343.70326932686481</v>
      </c>
      <c r="S53" s="491">
        <v>33.061464437665705</v>
      </c>
    </row>
    <row r="54" spans="2:19">
      <c r="B54" s="480" t="s">
        <v>320</v>
      </c>
      <c r="C54" s="414">
        <f>'2024'!M25</f>
        <v>2278.3850000000002</v>
      </c>
      <c r="D54" s="415">
        <f t="shared" si="8"/>
        <v>1074.5919999999999</v>
      </c>
      <c r="E54" s="413">
        <f>'2024'!M29</f>
        <v>1203.7930000000003</v>
      </c>
      <c r="F54" s="411">
        <f>'2024'!M31</f>
        <v>346.22021248849461</v>
      </c>
      <c r="G54" s="411">
        <f>'2024'!M32+'2024'!M34</f>
        <v>522.33475508826223</v>
      </c>
      <c r="H54" s="411">
        <f>'2024'!M33</f>
        <v>306.53319905993789</v>
      </c>
      <c r="I54" s="481">
        <f>'2024'!M41</f>
        <v>28.705143747944199</v>
      </c>
      <c r="L54" s="491" t="s">
        <v>320</v>
      </c>
      <c r="M54" s="491">
        <v>2278.3850000000002</v>
      </c>
      <c r="N54" s="491">
        <v>1074.5919999999999</v>
      </c>
      <c r="O54" s="491">
        <v>1203.7930000000003</v>
      </c>
      <c r="P54" s="491">
        <v>346.22021248849461</v>
      </c>
      <c r="Q54" s="491">
        <v>522.33475508826223</v>
      </c>
      <c r="R54" s="491">
        <v>306.53319905993789</v>
      </c>
      <c r="S54" s="491">
        <v>28.705143747944199</v>
      </c>
    </row>
    <row r="55" spans="2:19">
      <c r="B55" s="480" t="s">
        <v>321</v>
      </c>
      <c r="C55" s="414">
        <f>'2024'!N25</f>
        <v>2258.8090000000002</v>
      </c>
      <c r="D55" s="415">
        <f t="shared" si="8"/>
        <v>959.93899999999985</v>
      </c>
      <c r="E55" s="413">
        <f>'2024'!N29</f>
        <v>1298.8700000000003</v>
      </c>
      <c r="F55" s="411">
        <f>'2024'!N31</f>
        <v>392.22332017724824</v>
      </c>
      <c r="G55" s="411">
        <f>'2024'!N32+'2024'!N34</f>
        <v>544.13920438174318</v>
      </c>
      <c r="H55" s="411">
        <f>'2024'!N33</f>
        <v>329.86427158837523</v>
      </c>
      <c r="I55" s="481">
        <f>'2024'!N41</f>
        <v>32.642985838454351</v>
      </c>
      <c r="L55" s="491" t="s">
        <v>321</v>
      </c>
      <c r="M55" s="491">
        <v>2258.8090000000002</v>
      </c>
      <c r="N55" s="491">
        <v>959.93899999999985</v>
      </c>
      <c r="O55" s="491">
        <v>1298.8700000000003</v>
      </c>
      <c r="P55" s="491">
        <v>392.22332017724824</v>
      </c>
      <c r="Q55" s="491">
        <v>544.13920438174318</v>
      </c>
      <c r="R55" s="491">
        <v>329.86427158837523</v>
      </c>
      <c r="S55" s="491">
        <v>32.642985838454351</v>
      </c>
    </row>
    <row r="56" spans="2:19">
      <c r="B56" s="480" t="s">
        <v>322</v>
      </c>
      <c r="C56" s="414">
        <f>'2024'!O25</f>
        <v>2668.8530000000005</v>
      </c>
      <c r="D56" s="415">
        <f t="shared" si="8"/>
        <v>1257.1119999999999</v>
      </c>
      <c r="E56" s="413">
        <f>'2024'!O29</f>
        <v>1411.7410000000007</v>
      </c>
      <c r="F56" s="411">
        <f>'2024'!O31</f>
        <v>399.87818010759941</v>
      </c>
      <c r="G56" s="411">
        <f>'2024'!O32+'2024'!O34</f>
        <v>623.10049740099566</v>
      </c>
      <c r="H56" s="411">
        <f>'2024'!O33</f>
        <v>355.62071750531499</v>
      </c>
      <c r="I56" s="481">
        <f>'2024'!O41</f>
        <v>33.142692250463448</v>
      </c>
      <c r="L56" s="491" t="s">
        <v>322</v>
      </c>
      <c r="M56" s="491">
        <v>2668.8530000000005</v>
      </c>
      <c r="N56" s="491">
        <v>1257.1119999999999</v>
      </c>
      <c r="O56" s="491">
        <v>1411.7410000000007</v>
      </c>
      <c r="P56" s="491">
        <v>399.87818010759941</v>
      </c>
      <c r="Q56" s="491">
        <v>623.10049740099566</v>
      </c>
      <c r="R56" s="491">
        <v>355.62071750531499</v>
      </c>
      <c r="S56" s="491">
        <v>33.142692250463448</v>
      </c>
    </row>
    <row r="57" spans="2:19">
      <c r="B57" s="480" t="s">
        <v>323</v>
      </c>
      <c r="C57" s="414">
        <f>'2024'!P25</f>
        <v>3143.116</v>
      </c>
      <c r="D57" s="415">
        <f t="shared" si="8"/>
        <v>1415.6239999999998</v>
      </c>
      <c r="E57" s="413">
        <f>'2024'!P29</f>
        <v>1727.4920000000002</v>
      </c>
      <c r="F57" s="411">
        <f>'2024'!P31</f>
        <v>536.83048814986</v>
      </c>
      <c r="G57" s="411">
        <f>'2024'!P32+'2024'!P34</f>
        <v>743.08300988444989</v>
      </c>
      <c r="H57" s="411">
        <f>'2024'!P33</f>
        <v>402.55284620397998</v>
      </c>
      <c r="I57" s="481">
        <f>'2024'!P41</f>
        <v>45.025912171950004</v>
      </c>
      <c r="L57" s="491" t="s">
        <v>323</v>
      </c>
      <c r="M57" s="491">
        <v>3143.116</v>
      </c>
      <c r="N57" s="491">
        <v>1415.6239999999998</v>
      </c>
      <c r="O57" s="491">
        <v>1727.4920000000002</v>
      </c>
      <c r="P57" s="491">
        <v>536.83048814986</v>
      </c>
      <c r="Q57" s="491">
        <v>743.08300988444989</v>
      </c>
      <c r="R57" s="491">
        <v>402.55284620397998</v>
      </c>
      <c r="S57" s="491">
        <v>45.025912171950004</v>
      </c>
    </row>
    <row r="58" spans="2:19">
      <c r="B58" s="482" t="s">
        <v>25</v>
      </c>
      <c r="C58" s="412">
        <f>SUM(C46:C57)</f>
        <v>27900.053999999996</v>
      </c>
      <c r="D58" s="412">
        <f>SUM(D46:D57)</f>
        <v>12641.050000000001</v>
      </c>
      <c r="E58" s="412">
        <f t="shared" ref="E58" si="9">SUM(E46:E57)</f>
        <v>15259.004000000001</v>
      </c>
      <c r="F58" s="412">
        <f t="shared" ref="F58" si="10">SUM(F46:F57)</f>
        <v>4570.3257554816691</v>
      </c>
      <c r="G58" s="412">
        <f t="shared" ref="G58" si="11">SUM(G46:G57)</f>
        <v>6533.4240896456222</v>
      </c>
      <c r="H58" s="412">
        <f t="shared" ref="H58" si="12">SUM(H46:H57)</f>
        <v>3774.3967044361793</v>
      </c>
      <c r="I58" s="483">
        <f t="shared" ref="I58" si="13">SUM(I46:I57)</f>
        <v>380.86047298677602</v>
      </c>
      <c r="L58" s="491" t="s">
        <v>25</v>
      </c>
      <c r="M58" s="491">
        <v>27900.053999999996</v>
      </c>
      <c r="N58" s="491">
        <v>12641.050000000001</v>
      </c>
      <c r="O58" s="491">
        <v>15259.004000000001</v>
      </c>
      <c r="P58" s="491">
        <v>4570.3257554816691</v>
      </c>
      <c r="Q58" s="491">
        <v>6533.4240896456222</v>
      </c>
      <c r="R58" s="491">
        <v>3774.3967044361793</v>
      </c>
      <c r="S58" s="491">
        <v>380.86047298677602</v>
      </c>
    </row>
    <row r="59" spans="2:19" ht="15" thickBot="1">
      <c r="B59" s="484" t="s">
        <v>324</v>
      </c>
      <c r="C59" s="416">
        <f>100%</f>
        <v>1</v>
      </c>
      <c r="D59" s="416">
        <f>D58/C58</f>
        <v>0.45308335245516024</v>
      </c>
      <c r="E59" s="416">
        <f>E58/C58</f>
        <v>0.54691664754483993</v>
      </c>
      <c r="F59" s="416">
        <f>F58/E58</f>
        <v>0.29951664967658892</v>
      </c>
      <c r="G59" s="416">
        <f>G58/E58</f>
        <v>0.42816844989657399</v>
      </c>
      <c r="H59" s="416">
        <f>H58/E58</f>
        <v>0.24735537813845379</v>
      </c>
      <c r="I59" s="485">
        <f>I58/E58</f>
        <v>2.4959720371446E-2</v>
      </c>
      <c r="L59" s="491" t="s">
        <v>324</v>
      </c>
      <c r="M59" s="491">
        <v>1</v>
      </c>
      <c r="N59" s="491">
        <v>0.45308335245516024</v>
      </c>
      <c r="O59" s="491">
        <v>0.54691664754483993</v>
      </c>
      <c r="P59" s="491">
        <v>0.29951664967658892</v>
      </c>
      <c r="Q59" s="491">
        <v>0.42816844989657399</v>
      </c>
      <c r="R59" s="491">
        <v>0.24735537813845379</v>
      </c>
      <c r="S59" s="491">
        <v>2.4959720371446E-2</v>
      </c>
    </row>
    <row r="60" spans="2:19">
      <c r="B60" s="417" t="s">
        <v>325</v>
      </c>
      <c r="C60" s="418"/>
      <c r="D60" s="418"/>
      <c r="E60" s="418"/>
      <c r="F60" s="418"/>
      <c r="G60" s="418"/>
      <c r="H60" s="418"/>
      <c r="I60" s="419"/>
      <c r="L60" s="491" t="s">
        <v>325</v>
      </c>
      <c r="M60" s="491"/>
      <c r="N60" s="491"/>
      <c r="O60" s="491"/>
      <c r="P60" s="491"/>
      <c r="Q60" s="491"/>
      <c r="R60" s="491"/>
      <c r="S60" s="491"/>
    </row>
    <row r="61" spans="2:19">
      <c r="B61" s="431" t="s">
        <v>326</v>
      </c>
      <c r="C61" s="429"/>
      <c r="D61" s="429"/>
      <c r="E61" s="429"/>
      <c r="F61" s="429"/>
      <c r="G61" s="429"/>
      <c r="H61" s="429"/>
      <c r="I61" s="430"/>
      <c r="L61" s="491" t="s">
        <v>326</v>
      </c>
      <c r="M61" s="491"/>
      <c r="N61" s="491"/>
      <c r="O61" s="491"/>
      <c r="P61" s="491"/>
      <c r="Q61" s="491"/>
      <c r="R61" s="491"/>
      <c r="S61" s="491"/>
    </row>
    <row r="62" spans="2:19" ht="15" thickBot="1">
      <c r="B62" s="420" t="s">
        <v>327</v>
      </c>
      <c r="C62" s="421"/>
      <c r="D62" s="421"/>
      <c r="E62" s="421"/>
      <c r="F62" s="421"/>
      <c r="G62" s="421"/>
      <c r="H62" s="421"/>
      <c r="I62" s="422"/>
      <c r="L62" s="491" t="s">
        <v>327</v>
      </c>
      <c r="M62" s="491"/>
      <c r="N62" s="491"/>
      <c r="O62" s="491"/>
      <c r="P62" s="491"/>
      <c r="Q62" s="491"/>
      <c r="R62" s="491"/>
      <c r="S62" s="491"/>
    </row>
    <row r="63" spans="2:19">
      <c r="B63" s="486"/>
      <c r="I63" s="487"/>
      <c r="L63" s="491"/>
      <c r="M63" s="491"/>
      <c r="N63" s="491"/>
      <c r="O63" s="491"/>
      <c r="P63" s="491"/>
      <c r="Q63" s="491"/>
      <c r="R63" s="491"/>
      <c r="S63" s="491"/>
    </row>
    <row r="64" spans="2:19">
      <c r="B64" s="488">
        <v>2025</v>
      </c>
      <c r="C64" s="410" t="s">
        <v>308</v>
      </c>
      <c r="D64" s="410" t="s">
        <v>309</v>
      </c>
      <c r="E64" s="410" t="s">
        <v>310</v>
      </c>
      <c r="F64" s="410" t="s">
        <v>19</v>
      </c>
      <c r="G64" s="410" t="s">
        <v>21</v>
      </c>
      <c r="H64" s="410" t="s">
        <v>23</v>
      </c>
      <c r="I64" s="479" t="s">
        <v>311</v>
      </c>
      <c r="L64" s="491">
        <v>2025</v>
      </c>
      <c r="M64" s="491" t="s">
        <v>308</v>
      </c>
      <c r="N64" s="491" t="s">
        <v>309</v>
      </c>
      <c r="O64" s="491" t="s">
        <v>310</v>
      </c>
      <c r="P64" s="491" t="s">
        <v>19</v>
      </c>
      <c r="Q64" s="491" t="s">
        <v>21</v>
      </c>
      <c r="R64" s="491" t="s">
        <v>23</v>
      </c>
      <c r="S64" s="491" t="s">
        <v>311</v>
      </c>
    </row>
    <row r="65" spans="2:19">
      <c r="B65" s="478"/>
      <c r="C65" s="410" t="s">
        <v>17</v>
      </c>
      <c r="D65" s="410" t="s">
        <v>17</v>
      </c>
      <c r="E65" s="410" t="s">
        <v>17</v>
      </c>
      <c r="F65" s="410" t="s">
        <v>17</v>
      </c>
      <c r="G65" s="410" t="s">
        <v>17</v>
      </c>
      <c r="H65" s="410" t="s">
        <v>17</v>
      </c>
      <c r="I65" s="479" t="s">
        <v>17</v>
      </c>
      <c r="L65" s="491"/>
      <c r="M65" s="491" t="s">
        <v>17</v>
      </c>
      <c r="N65" s="491" t="s">
        <v>17</v>
      </c>
      <c r="O65" s="491" t="s">
        <v>17</v>
      </c>
      <c r="P65" s="491" t="s">
        <v>17</v>
      </c>
      <c r="Q65" s="491" t="s">
        <v>17</v>
      </c>
      <c r="R65" s="491" t="s">
        <v>17</v>
      </c>
      <c r="S65" s="491" t="s">
        <v>17</v>
      </c>
    </row>
    <row r="66" spans="2:19">
      <c r="B66" s="480" t="s">
        <v>312</v>
      </c>
      <c r="C66" s="414">
        <f>'2025'!E25</f>
        <v>2310.877</v>
      </c>
      <c r="D66" s="415">
        <f>C66-E66</f>
        <v>885.95500000000015</v>
      </c>
      <c r="E66" s="413">
        <f>'2025'!E29</f>
        <v>1424.9219999999998</v>
      </c>
      <c r="F66" s="411">
        <f>'2025'!E31</f>
        <v>416.60156515770859</v>
      </c>
      <c r="G66" s="411">
        <f>'2025'!E32+'2025'!E34</f>
        <v>611.97451716766318</v>
      </c>
      <c r="H66" s="411">
        <f>'2025'!E33</f>
        <v>361.75295454231082</v>
      </c>
      <c r="I66" s="481">
        <f>'2025'!E41</f>
        <v>34.590910606635497</v>
      </c>
      <c r="L66" s="491" t="s">
        <v>312</v>
      </c>
      <c r="M66" s="491">
        <v>2310.877</v>
      </c>
      <c r="N66" s="491">
        <v>885.95500000000015</v>
      </c>
      <c r="O66" s="491">
        <v>1424.9219999999998</v>
      </c>
      <c r="P66" s="491">
        <v>416.60156515770859</v>
      </c>
      <c r="Q66" s="491">
        <v>611.97451716766318</v>
      </c>
      <c r="R66" s="491">
        <v>361.75295454231082</v>
      </c>
      <c r="S66" s="491">
        <v>34.590910606635497</v>
      </c>
    </row>
    <row r="67" spans="2:19">
      <c r="B67" s="480" t="s">
        <v>313</v>
      </c>
      <c r="C67" s="414">
        <f>'2025'!F25</f>
        <v>2641.5039999999999</v>
      </c>
      <c r="D67" s="415">
        <f t="shared" ref="D67:D77" si="14">C67-E67</f>
        <v>938.44900000000007</v>
      </c>
      <c r="E67" s="413">
        <f>'2025'!F29</f>
        <v>1703.0549999999998</v>
      </c>
      <c r="F67" s="411">
        <f>'2025'!F31</f>
        <v>510.15060430666858</v>
      </c>
      <c r="G67" s="411">
        <f>'2025'!F32+'2025'!F34</f>
        <v>718.98003982380237</v>
      </c>
      <c r="H67" s="411">
        <f>'2025'!F33</f>
        <v>431.48400782495702</v>
      </c>
      <c r="I67" s="481">
        <f>'2025'!F41</f>
        <v>42.440182529942696</v>
      </c>
      <c r="L67" s="491" t="s">
        <v>313</v>
      </c>
      <c r="M67" s="491">
        <v>2641.5039999999999</v>
      </c>
      <c r="N67" s="491">
        <v>938.44900000000007</v>
      </c>
      <c r="O67" s="491">
        <v>1703.0549999999998</v>
      </c>
      <c r="P67" s="491">
        <v>510.15060430666858</v>
      </c>
      <c r="Q67" s="491">
        <v>718.98003982380237</v>
      </c>
      <c r="R67" s="491">
        <v>431.48400782495702</v>
      </c>
      <c r="S67" s="491">
        <v>42.440182529942696</v>
      </c>
    </row>
    <row r="68" spans="2:19">
      <c r="B68" s="480" t="s">
        <v>314</v>
      </c>
      <c r="C68" s="414">
        <f>'2025'!G25</f>
        <v>2344.6410000000001</v>
      </c>
      <c r="D68" s="415">
        <f t="shared" si="14"/>
        <v>666.18900000000008</v>
      </c>
      <c r="E68" s="413">
        <f>'2025'!G29</f>
        <v>1678.452</v>
      </c>
      <c r="F68" s="411">
        <f>'2025'!G31</f>
        <v>525.68195013452396</v>
      </c>
      <c r="G68" s="411">
        <f>'2025'!G32+'2025'!G34</f>
        <v>698.23774590131666</v>
      </c>
      <c r="H68" s="411">
        <f>'2025'!G33</f>
        <v>410.55894980527825</v>
      </c>
      <c r="I68" s="481">
        <f>'2025'!G41</f>
        <v>43.974466293990005</v>
      </c>
      <c r="L68" s="491" t="s">
        <v>314</v>
      </c>
      <c r="M68" s="491">
        <v>2344.6410000000001</v>
      </c>
      <c r="N68" s="491">
        <v>666.18900000000008</v>
      </c>
      <c r="O68" s="491">
        <v>1678.452</v>
      </c>
      <c r="P68" s="491">
        <v>525.68195013452396</v>
      </c>
      <c r="Q68" s="491">
        <v>698.23774590131666</v>
      </c>
      <c r="R68" s="491">
        <v>410.55894980527825</v>
      </c>
      <c r="S68" s="491">
        <v>43.974466293990005</v>
      </c>
    </row>
    <row r="69" spans="2:19">
      <c r="B69" s="480" t="s">
        <v>315</v>
      </c>
      <c r="C69" s="414">
        <f>'2025'!H25</f>
        <v>2411.3119999999999</v>
      </c>
      <c r="D69" s="415">
        <f t="shared" si="14"/>
        <v>832.55600000000004</v>
      </c>
      <c r="E69" s="413">
        <f>'2025'!H29</f>
        <v>1578.7559999999999</v>
      </c>
      <c r="F69" s="411">
        <f>'2025'!H31</f>
        <v>487.92156469363994</v>
      </c>
      <c r="G69" s="411">
        <f>'2025'!H32+'2025'!H34</f>
        <v>663.05904851123591</v>
      </c>
      <c r="H69" s="411">
        <f>'2025'!H33</f>
        <v>387.00141106880017</v>
      </c>
      <c r="I69" s="481">
        <f>'2025'!H41</f>
        <v>40.773533846475004</v>
      </c>
      <c r="L69" s="491" t="s">
        <v>315</v>
      </c>
      <c r="M69" s="491">
        <v>2411.3119999999999</v>
      </c>
      <c r="N69" s="491">
        <v>832.55600000000004</v>
      </c>
      <c r="O69" s="491">
        <v>1578.7559999999999</v>
      </c>
      <c r="P69" s="491">
        <v>487.92156469363994</v>
      </c>
      <c r="Q69" s="491">
        <v>663.05904851123591</v>
      </c>
      <c r="R69" s="491">
        <v>387.00141106880017</v>
      </c>
      <c r="S69" s="491">
        <v>40.773533846475004</v>
      </c>
    </row>
    <row r="70" spans="2:19">
      <c r="B70" s="480" t="s">
        <v>316</v>
      </c>
      <c r="C70" s="414">
        <f>'2025'!I25</f>
        <v>2848.7200000000003</v>
      </c>
      <c r="D70" s="415">
        <f t="shared" si="14"/>
        <v>1167.4929999999999</v>
      </c>
      <c r="E70" s="413">
        <f>'2025'!I29</f>
        <v>1681.2270000000003</v>
      </c>
      <c r="F70" s="411">
        <f>'2025'!I31</f>
        <v>521.66375408904003</v>
      </c>
      <c r="G70" s="411">
        <f>'2025'!I32+'2025'!I34</f>
        <v>709.2947482096265</v>
      </c>
      <c r="H70" s="411">
        <f>'2025'!I33</f>
        <v>406.62625472223755</v>
      </c>
      <c r="I70" s="481">
        <f>'2025'!I41</f>
        <v>43.643984682915004</v>
      </c>
      <c r="L70" s="491" t="s">
        <v>316</v>
      </c>
      <c r="M70" s="491">
        <v>2848.7200000000003</v>
      </c>
      <c r="N70" s="491">
        <v>1167.4929999999999</v>
      </c>
      <c r="O70" s="491">
        <v>1681.2270000000003</v>
      </c>
      <c r="P70" s="491">
        <v>521.66375408904003</v>
      </c>
      <c r="Q70" s="491">
        <v>709.2947482096265</v>
      </c>
      <c r="R70" s="491">
        <v>406.62625472223755</v>
      </c>
      <c r="S70" s="491">
        <v>43.643984682915004</v>
      </c>
    </row>
    <row r="71" spans="2:19">
      <c r="B71" s="480" t="s">
        <v>317</v>
      </c>
      <c r="C71" s="414">
        <f>'2025'!J25</f>
        <v>2942.8450000000003</v>
      </c>
      <c r="D71" s="415">
        <f t="shared" si="14"/>
        <v>1282.954</v>
      </c>
      <c r="E71" s="413">
        <f>'2025'!J29</f>
        <v>1659.8910000000003</v>
      </c>
      <c r="F71" s="411">
        <f>'2025'!J31</f>
        <v>496.68308730120339</v>
      </c>
      <c r="G71" s="411">
        <f>'2025'!J32+'2025'!J34</f>
        <v>701.91779637754405</v>
      </c>
      <c r="H71" s="411">
        <f>'2025'!J33</f>
        <v>419.96852434710496</v>
      </c>
      <c r="I71" s="481">
        <f>'2025'!J41</f>
        <v>41.320686579943498</v>
      </c>
      <c r="L71" s="491" t="s">
        <v>317</v>
      </c>
      <c r="M71" s="491">
        <v>2942.8450000000003</v>
      </c>
      <c r="N71" s="491">
        <v>1282.954</v>
      </c>
      <c r="O71" s="491">
        <v>1659.8910000000003</v>
      </c>
      <c r="P71" s="491">
        <v>496.68308730120339</v>
      </c>
      <c r="Q71" s="491">
        <v>701.91779637754405</v>
      </c>
      <c r="R71" s="491">
        <v>419.96852434710496</v>
      </c>
      <c r="S71" s="491">
        <v>41.320686579943498</v>
      </c>
    </row>
    <row r="72" spans="2:19">
      <c r="B72" s="480" t="s">
        <v>318</v>
      </c>
      <c r="C72" s="414">
        <f>'2025'!K25</f>
        <v>4332.6289999999999</v>
      </c>
      <c r="D72" s="415">
        <f t="shared" si="14"/>
        <v>2514.2159999999999</v>
      </c>
      <c r="E72" s="413">
        <f>'2025'!K29</f>
        <v>1818.413</v>
      </c>
      <c r="F72" s="411">
        <f>'2025'!K31</f>
        <v>595.43054176937744</v>
      </c>
      <c r="G72" s="411">
        <f>'2025'!K32+'2025'!K34</f>
        <v>728.17572698991785</v>
      </c>
      <c r="H72" s="411">
        <f>'2025'!K33</f>
        <v>444.85351954013566</v>
      </c>
      <c r="I72" s="481">
        <f>'2025'!K41</f>
        <v>49.952584511119511</v>
      </c>
      <c r="L72" s="491" t="s">
        <v>318</v>
      </c>
      <c r="M72" s="491">
        <v>4332.6289999999999</v>
      </c>
      <c r="N72" s="491">
        <v>2514.2159999999999</v>
      </c>
      <c r="O72" s="491">
        <v>1818.413</v>
      </c>
      <c r="P72" s="491">
        <v>595.43054176937744</v>
      </c>
      <c r="Q72" s="491">
        <v>728.17572698991785</v>
      </c>
      <c r="R72" s="491">
        <v>444.85351954013566</v>
      </c>
      <c r="S72" s="491">
        <v>49.952584511119511</v>
      </c>
    </row>
    <row r="73" spans="2:19">
      <c r="B73" s="480" t="s">
        <v>319</v>
      </c>
      <c r="C73" s="414">
        <f>'2025'!L25</f>
        <v>3836.9810000000007</v>
      </c>
      <c r="D73" s="415">
        <f t="shared" si="14"/>
        <v>1836.152</v>
      </c>
      <c r="E73" s="413">
        <f>'2025'!L29</f>
        <v>2000.8290000000006</v>
      </c>
      <c r="F73" s="411">
        <f>'2025'!L31</f>
        <v>678.04458072200316</v>
      </c>
      <c r="G73" s="411">
        <f>'2025'!L32+'2025'!L34</f>
        <v>780.70825971611464</v>
      </c>
      <c r="H73" s="411">
        <f>'2025'!L33</f>
        <v>485.03902304983228</v>
      </c>
      <c r="I73" s="481">
        <f>'2025'!L41</f>
        <v>57.036486257758114</v>
      </c>
      <c r="L73" s="491" t="s">
        <v>319</v>
      </c>
      <c r="M73" s="491">
        <v>3836.9810000000007</v>
      </c>
      <c r="N73" s="491">
        <v>1836.152</v>
      </c>
      <c r="O73" s="491">
        <v>2000.8290000000006</v>
      </c>
      <c r="P73" s="491">
        <v>678.04458072200316</v>
      </c>
      <c r="Q73" s="491">
        <v>780.70825971611464</v>
      </c>
      <c r="R73" s="491">
        <v>485.03902304983228</v>
      </c>
      <c r="S73" s="491">
        <v>57.036486257758114</v>
      </c>
    </row>
    <row r="74" spans="2:19">
      <c r="B74" s="480" t="s">
        <v>320</v>
      </c>
      <c r="C74" s="414">
        <f>'2025'!M25</f>
        <v>3635.8019999999997</v>
      </c>
      <c r="D74" s="415">
        <f t="shared" si="14"/>
        <v>1410.6840000000002</v>
      </c>
      <c r="E74" s="413">
        <f>'2025'!M29</f>
        <v>2225.1179999999995</v>
      </c>
      <c r="F74" s="411">
        <f>'2025'!M31</f>
        <v>747.11295463065915</v>
      </c>
      <c r="G74" s="411">
        <f>'2025'!M32+'2025'!M34</f>
        <v>892.84282154860409</v>
      </c>
      <c r="H74" s="411">
        <f>'2025'!M33</f>
        <v>522.22814963215035</v>
      </c>
      <c r="I74" s="481">
        <f>'2025'!M41</f>
        <v>62.933342089106503</v>
      </c>
      <c r="L74" s="491" t="s">
        <v>320</v>
      </c>
      <c r="M74" s="491">
        <v>3635.8019999999997</v>
      </c>
      <c r="N74" s="491">
        <v>1410.6840000000002</v>
      </c>
      <c r="O74" s="491">
        <v>2225.1179999999995</v>
      </c>
      <c r="P74" s="491">
        <v>747.11295463065915</v>
      </c>
      <c r="Q74" s="491">
        <v>892.84282154860409</v>
      </c>
      <c r="R74" s="491">
        <v>522.22814963215035</v>
      </c>
      <c r="S74" s="491">
        <v>62.933342089106503</v>
      </c>
    </row>
    <row r="75" spans="2:19">
      <c r="B75" s="480" t="s">
        <v>321</v>
      </c>
      <c r="C75" s="414">
        <f>'2025'!N25</f>
        <v>3054.5469999999996</v>
      </c>
      <c r="D75" s="415">
        <f t="shared" si="14"/>
        <v>951.154</v>
      </c>
      <c r="E75" s="413">
        <f>'2025'!N29</f>
        <v>2103.3929999999996</v>
      </c>
      <c r="F75" s="411">
        <f>'2025'!N31</f>
        <v>656.51689542603799</v>
      </c>
      <c r="G75" s="411">
        <f>'2025'!N32+'2025'!N34</f>
        <v>862.12723451321085</v>
      </c>
      <c r="H75" s="411">
        <f>'2025'!N33</f>
        <v>529.95415183696696</v>
      </c>
      <c r="I75" s="481">
        <f>'2025'!N41</f>
        <v>54.796702259346105</v>
      </c>
      <c r="L75" s="491" t="s">
        <v>321</v>
      </c>
      <c r="M75" s="491">
        <v>3054.5469999999996</v>
      </c>
      <c r="N75" s="491">
        <v>951.154</v>
      </c>
      <c r="O75" s="491">
        <v>2103.3929999999996</v>
      </c>
      <c r="P75" s="491">
        <v>656.51689542603799</v>
      </c>
      <c r="Q75" s="491">
        <v>862.12723451321085</v>
      </c>
      <c r="R75" s="491">
        <v>529.95415183696696</v>
      </c>
      <c r="S75" s="491">
        <v>54.796702259346105</v>
      </c>
    </row>
    <row r="76" spans="2:19">
      <c r="B76" s="480" t="s">
        <v>322</v>
      </c>
      <c r="C76" s="414">
        <f>'2025'!O25</f>
        <v>2934.6040000000003</v>
      </c>
      <c r="D76" s="415">
        <f t="shared" si="14"/>
        <v>839.88099999999986</v>
      </c>
      <c r="E76" s="413">
        <f>'2025'!O29</f>
        <v>2094.7230000000004</v>
      </c>
      <c r="F76" s="411">
        <f>'2025'!O31</f>
        <v>699.594639627383</v>
      </c>
      <c r="G76" s="411">
        <f>'2025'!O32+'2025'!O34</f>
        <v>830.51525417472192</v>
      </c>
      <c r="H76" s="411">
        <f>'2025'!O33</f>
        <v>505.80279686946051</v>
      </c>
      <c r="I76" s="481">
        <f>'2025'!O41</f>
        <v>58.811228568966101</v>
      </c>
      <c r="L76" s="491" t="s">
        <v>322</v>
      </c>
      <c r="M76" s="491">
        <v>2934.6040000000003</v>
      </c>
      <c r="N76" s="491">
        <v>839.88099999999986</v>
      </c>
      <c r="O76" s="491">
        <v>2094.7230000000004</v>
      </c>
      <c r="P76" s="491">
        <v>699.594639627383</v>
      </c>
      <c r="Q76" s="491">
        <v>830.51525417472192</v>
      </c>
      <c r="R76" s="491">
        <v>505.80279686946051</v>
      </c>
      <c r="S76" s="491">
        <v>58.811228568966101</v>
      </c>
    </row>
    <row r="77" spans="2:19">
      <c r="B77" s="480" t="s">
        <v>323</v>
      </c>
      <c r="C77" s="414">
        <f>'2025'!P25</f>
        <v>2343.3860000000004</v>
      </c>
      <c r="D77" s="415">
        <f t="shared" si="14"/>
        <v>414.8760000000002</v>
      </c>
      <c r="E77" s="413">
        <f>'2025'!P29</f>
        <v>1928.5100000000002</v>
      </c>
      <c r="F77" s="411">
        <f>'2025'!P31</f>
        <v>688.87294796300637</v>
      </c>
      <c r="G77" s="411">
        <f>'2025'!P32+'2025'!P34</f>
        <v>736.08646980974697</v>
      </c>
      <c r="H77" s="411">
        <f>'2025'!P33</f>
        <v>445.26566604394702</v>
      </c>
      <c r="I77" s="481">
        <f>'2025'!P41</f>
        <v>58.285265478099205</v>
      </c>
      <c r="L77" s="491" t="s">
        <v>323</v>
      </c>
      <c r="M77" s="491">
        <v>2343.3860000000004</v>
      </c>
      <c r="N77" s="491">
        <v>414.8760000000002</v>
      </c>
      <c r="O77" s="491">
        <v>1928.5100000000002</v>
      </c>
      <c r="P77" s="491">
        <v>688.87294796300637</v>
      </c>
      <c r="Q77" s="491">
        <v>736.08646980974697</v>
      </c>
      <c r="R77" s="491">
        <v>445.26566604394702</v>
      </c>
      <c r="S77" s="491">
        <v>58.285265478099205</v>
      </c>
    </row>
    <row r="78" spans="2:19">
      <c r="B78" s="482" t="s">
        <v>25</v>
      </c>
      <c r="C78" s="412">
        <f>SUM(C66:C77)</f>
        <v>35637.847999999998</v>
      </c>
      <c r="D78" s="412">
        <f>SUM(D66:D77)</f>
        <v>13740.559000000001</v>
      </c>
      <c r="E78" s="412">
        <f t="shared" ref="E78" si="15">SUM(E66:E77)</f>
        <v>21897.289000000004</v>
      </c>
      <c r="F78" s="412">
        <f t="shared" ref="F78" si="16">SUM(F66:F77)</f>
        <v>7024.2750858212521</v>
      </c>
      <c r="G78" s="412">
        <f t="shared" ref="G78" si="17">SUM(G66:G77)</f>
        <v>8933.9196627435049</v>
      </c>
      <c r="H78" s="412">
        <f t="shared" ref="H78" si="18">SUM(H66:H77)</f>
        <v>5350.5354092831813</v>
      </c>
      <c r="I78" s="483">
        <f t="shared" ref="I78" si="19">SUM(I66:I77)</f>
        <v>588.55937370429717</v>
      </c>
      <c r="L78" s="491" t="s">
        <v>25</v>
      </c>
      <c r="M78" s="491">
        <v>35637.847999999998</v>
      </c>
      <c r="N78" s="491">
        <v>13740.559000000001</v>
      </c>
      <c r="O78" s="491">
        <v>21897.289000000004</v>
      </c>
      <c r="P78" s="491">
        <v>7024.2750858212521</v>
      </c>
      <c r="Q78" s="491">
        <v>8933.9196627435049</v>
      </c>
      <c r="R78" s="491">
        <v>5350.5354092831813</v>
      </c>
      <c r="S78" s="491">
        <v>588.55937370429717</v>
      </c>
    </row>
    <row r="79" spans="2:19" ht="15" thickBot="1">
      <c r="B79" s="484" t="s">
        <v>324</v>
      </c>
      <c r="C79" s="416">
        <f>100%</f>
        <v>1</v>
      </c>
      <c r="D79" s="416">
        <f>D78/C78</f>
        <v>0.38556085092455644</v>
      </c>
      <c r="E79" s="416">
        <f>E78/C78</f>
        <v>0.61443914907544372</v>
      </c>
      <c r="F79" s="416">
        <f>F78/E78</f>
        <v>0.32078286429983416</v>
      </c>
      <c r="G79" s="416">
        <f>G78/E78</f>
        <v>0.40799204242787784</v>
      </c>
      <c r="H79" s="416">
        <f>H78/E78</f>
        <v>0.24434693305108135</v>
      </c>
      <c r="I79" s="485">
        <f>I78/E78</f>
        <v>2.6878184496003002E-2</v>
      </c>
      <c r="L79" s="491" t="s">
        <v>324</v>
      </c>
      <c r="M79" s="491">
        <v>1</v>
      </c>
      <c r="N79" s="491">
        <v>0.38556085092455644</v>
      </c>
      <c r="O79" s="491">
        <v>0.61443914907544372</v>
      </c>
      <c r="P79" s="491">
        <v>0.32078286429983416</v>
      </c>
      <c r="Q79" s="491">
        <v>0.40799204242787784</v>
      </c>
      <c r="R79" s="491">
        <v>0.24434693305108135</v>
      </c>
      <c r="S79" s="491">
        <v>2.6878184496003002E-2</v>
      </c>
    </row>
    <row r="80" spans="2:19">
      <c r="B80" s="417" t="s">
        <v>325</v>
      </c>
      <c r="C80" s="418"/>
      <c r="D80" s="418"/>
      <c r="E80" s="418"/>
      <c r="F80" s="418"/>
      <c r="G80" s="418"/>
      <c r="H80" s="418"/>
      <c r="I80" s="419"/>
      <c r="L80" s="491" t="s">
        <v>325</v>
      </c>
      <c r="M80" s="491"/>
      <c r="N80" s="491"/>
      <c r="O80" s="491"/>
      <c r="P80" s="491"/>
      <c r="Q80" s="491"/>
      <c r="R80" s="491"/>
      <c r="S80" s="491"/>
    </row>
    <row r="81" spans="2:19">
      <c r="B81" s="431" t="s">
        <v>326</v>
      </c>
      <c r="C81" s="429"/>
      <c r="D81" s="429"/>
      <c r="E81" s="429"/>
      <c r="F81" s="429"/>
      <c r="G81" s="429"/>
      <c r="H81" s="429"/>
      <c r="I81" s="430"/>
      <c r="L81" s="491" t="s">
        <v>326</v>
      </c>
      <c r="M81" s="491"/>
      <c r="N81" s="491"/>
      <c r="O81" s="491"/>
      <c r="P81" s="491"/>
      <c r="Q81" s="491"/>
      <c r="R81" s="491"/>
      <c r="S81" s="491"/>
    </row>
    <row r="82" spans="2:19" ht="15" thickBot="1">
      <c r="B82" s="420" t="s">
        <v>327</v>
      </c>
      <c r="C82" s="421"/>
      <c r="D82" s="421"/>
      <c r="E82" s="421"/>
      <c r="F82" s="421"/>
      <c r="G82" s="421"/>
      <c r="H82" s="421"/>
      <c r="I82" s="422"/>
      <c r="L82" s="491" t="s">
        <v>327</v>
      </c>
      <c r="M82" s="491"/>
      <c r="N82" s="491"/>
      <c r="O82" s="491"/>
      <c r="P82" s="491"/>
      <c r="Q82" s="491"/>
      <c r="R82" s="491"/>
      <c r="S82" s="491"/>
    </row>
    <row r="83" spans="2:19">
      <c r="L83" s="491"/>
      <c r="M83" s="491"/>
      <c r="N83" s="491"/>
      <c r="O83" s="491"/>
      <c r="P83" s="491"/>
      <c r="Q83" s="491"/>
      <c r="R83" s="491"/>
      <c r="S83" s="491"/>
    </row>
    <row r="84" spans="2:19">
      <c r="L84" s="491"/>
      <c r="M84" s="491"/>
      <c r="N84" s="491"/>
      <c r="O84" s="491"/>
      <c r="P84" s="491"/>
      <c r="Q84" s="491"/>
      <c r="R84" s="491"/>
      <c r="S84" s="491"/>
    </row>
    <row r="85" spans="2:19">
      <c r="B85" s="409" t="s">
        <v>328</v>
      </c>
      <c r="L85" s="491" t="s">
        <v>329</v>
      </c>
      <c r="M85" s="491"/>
      <c r="N85" s="491"/>
      <c r="O85" s="491"/>
      <c r="P85" s="491"/>
      <c r="Q85" s="491"/>
      <c r="R85" s="491"/>
      <c r="S85" s="491"/>
    </row>
    <row r="86" spans="2:19">
      <c r="B86" s="583"/>
      <c r="C86" s="584" t="s">
        <v>330</v>
      </c>
      <c r="D86" s="584" t="s">
        <v>331</v>
      </c>
      <c r="E86" s="584" t="s">
        <v>332</v>
      </c>
      <c r="F86" s="584" t="s">
        <v>333</v>
      </c>
      <c r="L86" s="491"/>
      <c r="M86" s="491"/>
      <c r="N86" s="491" t="s">
        <v>331</v>
      </c>
      <c r="O86" s="491" t="s">
        <v>332</v>
      </c>
      <c r="P86" s="491" t="s">
        <v>333</v>
      </c>
      <c r="Q86" s="491"/>
      <c r="R86" s="491"/>
      <c r="S86" s="491"/>
    </row>
    <row r="87" spans="2:19">
      <c r="B87" s="593">
        <v>2017</v>
      </c>
      <c r="C87" s="585"/>
      <c r="D87" s="585">
        <v>5640</v>
      </c>
      <c r="E87" s="586"/>
      <c r="F87" s="586"/>
      <c r="L87" s="491">
        <v>2017</v>
      </c>
      <c r="M87" s="491"/>
      <c r="N87" s="491">
        <v>5640</v>
      </c>
      <c r="O87" s="491"/>
      <c r="P87" s="491"/>
      <c r="Q87" s="491"/>
      <c r="R87" s="491"/>
      <c r="S87" s="491"/>
    </row>
    <row r="88" spans="2:19">
      <c r="B88" s="593">
        <v>2018</v>
      </c>
      <c r="C88" s="585"/>
      <c r="D88" s="585">
        <v>7980</v>
      </c>
      <c r="E88" s="587">
        <f t="shared" ref="E88:E95" si="20">(D88-D87)/D88</f>
        <v>0.2932330827067669</v>
      </c>
      <c r="F88" s="586"/>
      <c r="L88" s="491">
        <v>2018</v>
      </c>
      <c r="M88" s="491"/>
      <c r="N88" s="491">
        <v>7980</v>
      </c>
      <c r="O88" s="491">
        <v>0.2932330827067669</v>
      </c>
      <c r="P88" s="491"/>
      <c r="Q88" s="491"/>
      <c r="R88" s="491"/>
      <c r="S88" s="491"/>
    </row>
    <row r="89" spans="2:19">
      <c r="B89" s="593">
        <v>2019</v>
      </c>
      <c r="C89" s="585"/>
      <c r="D89" s="585">
        <f>7850</f>
        <v>7850</v>
      </c>
      <c r="E89" s="587">
        <f t="shared" si="20"/>
        <v>-1.6560509554140127E-2</v>
      </c>
      <c r="F89" s="586"/>
      <c r="L89" s="491">
        <v>2019</v>
      </c>
      <c r="M89" s="491"/>
      <c r="N89" s="491">
        <v>7850</v>
      </c>
      <c r="O89" s="491">
        <v>-1.6560509554140127E-2</v>
      </c>
      <c r="P89" s="491"/>
      <c r="Q89" s="491"/>
      <c r="R89" s="491"/>
      <c r="S89" s="491"/>
    </row>
    <row r="90" spans="2:19">
      <c r="B90" s="593">
        <v>2020</v>
      </c>
      <c r="C90" s="585"/>
      <c r="D90" s="585">
        <v>7110</v>
      </c>
      <c r="E90" s="587">
        <f t="shared" si="20"/>
        <v>-0.10407876230661041</v>
      </c>
      <c r="F90" s="586"/>
      <c r="L90" s="491">
        <v>2020</v>
      </c>
      <c r="M90" s="491"/>
      <c r="N90" s="491">
        <v>7110</v>
      </c>
      <c r="O90" s="491">
        <v>-0.10407876230661041</v>
      </c>
      <c r="P90" s="491"/>
      <c r="Q90" s="491"/>
      <c r="R90" s="491"/>
      <c r="S90" s="491"/>
    </row>
    <row r="91" spans="2:19">
      <c r="B91" s="593">
        <v>2021</v>
      </c>
      <c r="C91" s="585"/>
      <c r="D91" s="585">
        <v>8120</v>
      </c>
      <c r="E91" s="587">
        <f t="shared" si="20"/>
        <v>0.12438423645320197</v>
      </c>
      <c r="F91" s="586"/>
      <c r="L91" s="491">
        <v>2021</v>
      </c>
      <c r="M91" s="491"/>
      <c r="N91" s="491">
        <v>8120</v>
      </c>
      <c r="O91" s="491">
        <v>0.12438423645320197</v>
      </c>
      <c r="P91" s="491"/>
      <c r="Q91" s="491"/>
      <c r="R91" s="491"/>
      <c r="S91" s="491"/>
    </row>
    <row r="92" spans="2:19">
      <c r="B92" s="593">
        <v>2022</v>
      </c>
      <c r="C92" s="585"/>
      <c r="D92" s="585">
        <v>9180</v>
      </c>
      <c r="E92" s="587">
        <f t="shared" si="20"/>
        <v>0.11546840958605664</v>
      </c>
      <c r="F92" s="594">
        <f>AVERAGE(E88:E92)</f>
        <v>8.2489291377054991E-2</v>
      </c>
      <c r="G92" s="407" t="s">
        <v>334</v>
      </c>
      <c r="L92" s="491">
        <v>2022</v>
      </c>
      <c r="M92" s="491"/>
      <c r="N92" s="491">
        <v>9180</v>
      </c>
      <c r="O92" s="491">
        <v>0.11546840958605664</v>
      </c>
      <c r="P92" s="491">
        <v>8.2489291377054991E-2</v>
      </c>
      <c r="Q92" s="491"/>
      <c r="R92" s="491"/>
      <c r="S92" s="491"/>
    </row>
    <row r="93" spans="2:19">
      <c r="B93" s="590">
        <v>2023</v>
      </c>
      <c r="C93" s="582">
        <f>C38</f>
        <v>16046.95</v>
      </c>
      <c r="D93" s="582">
        <v>10090</v>
      </c>
      <c r="E93" s="588">
        <f t="shared" si="20"/>
        <v>9.0188305252725476E-2</v>
      </c>
      <c r="F93" s="591"/>
      <c r="L93" s="491">
        <v>2023</v>
      </c>
      <c r="M93" s="491"/>
      <c r="N93" s="491">
        <v>1090</v>
      </c>
      <c r="O93" s="491"/>
      <c r="P93" s="491"/>
      <c r="Q93" s="491"/>
      <c r="R93" s="491"/>
      <c r="S93" s="491"/>
    </row>
    <row r="94" spans="2:19">
      <c r="B94" s="590">
        <v>2024</v>
      </c>
      <c r="C94" s="582">
        <f>C58</f>
        <v>27900.053999999996</v>
      </c>
      <c r="D94" s="582">
        <f>E58</f>
        <v>15259.004000000001</v>
      </c>
      <c r="E94" s="588">
        <f t="shared" si="20"/>
        <v>0.33875107444758523</v>
      </c>
      <c r="F94" s="591"/>
      <c r="L94" s="491">
        <v>2024</v>
      </c>
      <c r="M94" s="491"/>
      <c r="N94" s="491">
        <v>15259.004000000001</v>
      </c>
      <c r="O94" s="491"/>
      <c r="P94" s="491"/>
      <c r="Q94" s="491"/>
      <c r="R94" s="491"/>
      <c r="S94" s="491"/>
    </row>
    <row r="95" spans="2:19">
      <c r="B95" s="590">
        <v>2025</v>
      </c>
      <c r="C95" s="582">
        <f>C78</f>
        <v>35637.847999999998</v>
      </c>
      <c r="D95" s="582">
        <f>E78</f>
        <v>21897.289000000004</v>
      </c>
      <c r="E95" s="588">
        <f t="shared" si="20"/>
        <v>0.303155564143123</v>
      </c>
      <c r="F95" s="592">
        <f>AVERAGE(E93:E95)</f>
        <v>0.24403164794781121</v>
      </c>
      <c r="G95" s="407" t="s">
        <v>335</v>
      </c>
      <c r="L95" s="491">
        <v>2025</v>
      </c>
      <c r="M95" s="491"/>
      <c r="N95" s="491">
        <v>21897.289000000004</v>
      </c>
      <c r="O95" s="491"/>
      <c r="P95" s="491"/>
      <c r="Q95" s="491"/>
      <c r="R95" s="491"/>
      <c r="S95" s="491"/>
    </row>
    <row r="96" spans="2:19">
      <c r="B96" s="589" t="s">
        <v>336</v>
      </c>
      <c r="D96" s="490"/>
    </row>
    <row r="97" spans="2:9">
      <c r="D97" s="490"/>
    </row>
    <row r="99" spans="2:9">
      <c r="B99" s="834" t="s">
        <v>337</v>
      </c>
      <c r="C99" s="835"/>
      <c r="D99" s="835"/>
      <c r="E99" s="835"/>
      <c r="F99" s="835"/>
      <c r="G99" s="835"/>
      <c r="H99" s="835"/>
      <c r="I99" s="831"/>
    </row>
    <row r="100" spans="2:9" ht="15.95" thickBot="1">
      <c r="B100" s="836" t="s">
        <v>338</v>
      </c>
      <c r="C100" s="837"/>
      <c r="D100" s="837"/>
      <c r="E100" s="837"/>
      <c r="F100" s="837"/>
      <c r="G100" s="837"/>
      <c r="H100" s="837"/>
      <c r="I100" s="832"/>
    </row>
    <row r="101" spans="2:9" ht="15">
      <c r="B101" s="838"/>
      <c r="C101" s="839">
        <v>2022</v>
      </c>
      <c r="D101" s="839">
        <v>2023</v>
      </c>
      <c r="E101" s="839">
        <v>2024</v>
      </c>
      <c r="F101" s="840">
        <v>2025</v>
      </c>
      <c r="G101" s="837" t="s">
        <v>204</v>
      </c>
      <c r="H101" s="837"/>
      <c r="I101" s="832"/>
    </row>
    <row r="102" spans="2:9" ht="15">
      <c r="B102" s="841" t="s">
        <v>339</v>
      </c>
      <c r="C102" s="842" t="s">
        <v>17</v>
      </c>
      <c r="D102" s="842" t="s">
        <v>17</v>
      </c>
      <c r="E102" s="842" t="s">
        <v>17</v>
      </c>
      <c r="F102" s="843" t="s">
        <v>17</v>
      </c>
      <c r="G102" s="837"/>
      <c r="H102" s="837"/>
      <c r="I102" s="832"/>
    </row>
    <row r="103" spans="2:9" ht="15">
      <c r="B103" s="844" t="s">
        <v>19</v>
      </c>
      <c r="C103" s="845">
        <f>'2022'!R31</f>
        <v>1995.5150000000001</v>
      </c>
      <c r="D103" s="845">
        <f>'2023'!R31</f>
        <v>3749.0070000000005</v>
      </c>
      <c r="E103" s="845">
        <f>'2024'!R31</f>
        <v>4570.3257554816691</v>
      </c>
      <c r="F103" s="846">
        <f>'2025'!R31</f>
        <v>7024.2750858212521</v>
      </c>
      <c r="G103" s="847">
        <f>SUM(C103:F103)</f>
        <v>17339.122841302924</v>
      </c>
      <c r="H103" s="848">
        <f>G103/G106</f>
        <v>0.36033277336748176</v>
      </c>
      <c r="I103" s="832"/>
    </row>
    <row r="104" spans="2:9" ht="15">
      <c r="B104" s="844" t="s">
        <v>340</v>
      </c>
      <c r="C104" s="845">
        <f>'2022'!R32</f>
        <v>1736.7479999999998</v>
      </c>
      <c r="D104" s="845">
        <f>'2023'!R32</f>
        <v>3530.8970000000004</v>
      </c>
      <c r="E104" s="845">
        <f>'2024'!R32</f>
        <v>5186.0895659943053</v>
      </c>
      <c r="F104" s="846">
        <f>'2025'!R32</f>
        <v>7315.037118353006</v>
      </c>
      <c r="G104" s="847">
        <f>SUM(C104:F104)</f>
        <v>17768.77168434731</v>
      </c>
      <c r="H104" s="848">
        <f>G104/G106</f>
        <v>0.36926151564615861</v>
      </c>
      <c r="I104" s="832"/>
    </row>
    <row r="105" spans="2:9" ht="15">
      <c r="B105" s="844" t="s">
        <v>341</v>
      </c>
      <c r="C105" s="845">
        <f>'2022'!R33</f>
        <v>1285.4859999999999</v>
      </c>
      <c r="D105" s="845">
        <f>'2023'!R33</f>
        <v>2601.4369999999999</v>
      </c>
      <c r="E105" s="845">
        <f>'2024'!R33</f>
        <v>3774.3967044361793</v>
      </c>
      <c r="F105" s="846">
        <f>'2025'!R33</f>
        <v>5350.5354092831813</v>
      </c>
      <c r="G105" s="847">
        <f>SUM(C105:F105)</f>
        <v>13011.855113719361</v>
      </c>
      <c r="H105" s="848">
        <f>G105/G106</f>
        <v>0.27040571098635974</v>
      </c>
      <c r="I105" s="832"/>
    </row>
    <row r="106" spans="2:9" ht="15.95" thickBot="1">
      <c r="B106" s="849" t="s">
        <v>204</v>
      </c>
      <c r="C106" s="850">
        <f>SUM(C103:C105)</f>
        <v>5017.7489999999998</v>
      </c>
      <c r="D106" s="850">
        <f>SUM(D103:D105)</f>
        <v>9881.3410000000003</v>
      </c>
      <c r="E106" s="850">
        <f>SUM(E103:E105)</f>
        <v>13530.812025912155</v>
      </c>
      <c r="F106" s="851">
        <f>SUM(F103:F105)</f>
        <v>19689.847613457438</v>
      </c>
      <c r="G106" s="847">
        <f>SUM(C106:F106)</f>
        <v>48119.749639369591</v>
      </c>
      <c r="H106" s="837"/>
      <c r="I106" s="832"/>
    </row>
    <row r="107" spans="2:9" ht="15">
      <c r="B107" s="852"/>
      <c r="C107" s="837"/>
      <c r="D107" s="837"/>
      <c r="E107" s="847">
        <f>'2024'!R39</f>
        <v>15259.007022550244</v>
      </c>
      <c r="F107" s="847">
        <f>'2025'!R39</f>
        <v>21897.289531552236</v>
      </c>
      <c r="G107" s="837" t="s">
        <v>342</v>
      </c>
      <c r="H107" s="837"/>
      <c r="I107" s="832"/>
    </row>
    <row r="108" spans="2:9">
      <c r="B108" s="853"/>
      <c r="C108" s="835"/>
      <c r="D108" s="835"/>
      <c r="E108" s="835"/>
      <c r="F108" s="835"/>
      <c r="G108" s="835"/>
      <c r="H108" s="835"/>
      <c r="I108" s="831"/>
    </row>
    <row r="109" spans="2:9">
      <c r="B109" s="853"/>
      <c r="C109" s="835"/>
      <c r="D109" s="835"/>
      <c r="E109" s="835"/>
      <c r="F109" s="835"/>
      <c r="G109" s="835"/>
      <c r="H109" s="835"/>
      <c r="I109" s="831"/>
    </row>
    <row r="110" spans="2:9" ht="18">
      <c r="B110" s="854" t="s">
        <v>343</v>
      </c>
      <c r="C110" s="1211" t="s">
        <v>344</v>
      </c>
      <c r="D110" s="1211"/>
      <c r="E110" s="1211" t="s">
        <v>345</v>
      </c>
      <c r="F110" s="1211"/>
      <c r="G110" s="1211"/>
      <c r="H110" s="835"/>
      <c r="I110" s="831"/>
    </row>
    <row r="111" spans="2:9" ht="15">
      <c r="B111" s="855"/>
      <c r="C111" s="856">
        <v>2022</v>
      </c>
      <c r="D111" s="856" t="s">
        <v>346</v>
      </c>
      <c r="E111" s="856" t="s">
        <v>347</v>
      </c>
      <c r="F111" s="856">
        <v>2024</v>
      </c>
      <c r="G111" s="856">
        <v>2025</v>
      </c>
      <c r="H111" s="835"/>
      <c r="I111" s="831"/>
    </row>
    <row r="112" spans="2:9" ht="15">
      <c r="B112" s="857"/>
      <c r="C112" s="857"/>
      <c r="D112" s="857"/>
      <c r="E112" s="857"/>
      <c r="F112" s="857"/>
      <c r="G112" s="857"/>
      <c r="H112" s="835"/>
      <c r="I112" s="831"/>
    </row>
    <row r="113" spans="2:9" ht="15">
      <c r="B113" s="857" t="s">
        <v>19</v>
      </c>
      <c r="C113" s="858">
        <f>'2022'!R31</f>
        <v>1995.5150000000001</v>
      </c>
      <c r="D113" s="858">
        <f>SUM('2023'!E31:I31)</f>
        <v>1365.48</v>
      </c>
      <c r="E113" s="859">
        <f>SUM('2023'!J31:P31)</f>
        <v>2383.527</v>
      </c>
      <c r="F113" s="859">
        <f>'2024'!R31</f>
        <v>4570.3257554816691</v>
      </c>
      <c r="G113" s="859">
        <f>'2025'!R31</f>
        <v>7024.2750858212521</v>
      </c>
      <c r="H113" s="835"/>
      <c r="I113" s="831"/>
    </row>
    <row r="114" spans="2:9" ht="15">
      <c r="B114" s="857" t="s">
        <v>340</v>
      </c>
      <c r="C114" s="858">
        <f>'2022'!R32</f>
        <v>1736.7479999999998</v>
      </c>
      <c r="D114" s="858">
        <f>SUM('2023'!E32:I32)</f>
        <v>1307.8420000000001</v>
      </c>
      <c r="E114" s="859">
        <f>SUM('2023'!J32:P32)</f>
        <v>2223.0549999999998</v>
      </c>
      <c r="F114" s="859">
        <f>'2024'!R32</f>
        <v>5186.0895659943053</v>
      </c>
      <c r="G114" s="859">
        <f>'2025'!R32</f>
        <v>7315.037118353006</v>
      </c>
      <c r="H114" s="835"/>
      <c r="I114" s="831"/>
    </row>
    <row r="115" spans="2:9" ht="15">
      <c r="B115" s="857" t="s">
        <v>348</v>
      </c>
      <c r="C115" s="858">
        <f>'2022'!R33</f>
        <v>1285.4859999999999</v>
      </c>
      <c r="D115" s="858">
        <f>SUM('2023'!E33:I33)</f>
        <v>963.89599999999996</v>
      </c>
      <c r="E115" s="859">
        <f>SUM('2023'!J33:P33)</f>
        <v>1637.5409999999999</v>
      </c>
      <c r="F115" s="859">
        <f>'2024'!R33</f>
        <v>3774.3967044361793</v>
      </c>
      <c r="G115" s="859">
        <f>'2025'!R33</f>
        <v>5350.5354092831813</v>
      </c>
      <c r="H115" s="835"/>
      <c r="I115" s="831"/>
    </row>
    <row r="116" spans="2:9" ht="15">
      <c r="B116" s="857" t="s">
        <v>349</v>
      </c>
      <c r="C116" s="858">
        <f>'2022'!R34</f>
        <v>322.86099999999999</v>
      </c>
      <c r="D116" s="858">
        <f>SUM('2023'!E34:I34)</f>
        <v>250.16800000000001</v>
      </c>
      <c r="E116" s="859">
        <f>SUM('2023'!J34:P34)</f>
        <v>398.04499999999996</v>
      </c>
      <c r="F116" s="859">
        <f>'2024'!R34</f>
        <v>1347.3345236513164</v>
      </c>
      <c r="G116" s="859">
        <f>'2025'!R34</f>
        <v>1618.8825443904991</v>
      </c>
      <c r="H116" s="835"/>
      <c r="I116" s="831"/>
    </row>
    <row r="117" spans="2:9" ht="15">
      <c r="B117" s="857" t="s">
        <v>350</v>
      </c>
      <c r="C117" s="858">
        <f>'2022'!R35</f>
        <v>36.792000000000002</v>
      </c>
      <c r="D117" s="858">
        <f>SUM('2023'!E35:I35)</f>
        <v>24.542000000000002</v>
      </c>
      <c r="E117" s="859">
        <f>SUM('2023'!J35:P35)</f>
        <v>42.932000000000002</v>
      </c>
      <c r="F117" s="859">
        <f>'2024'!R35</f>
        <v>76.020046540176708</v>
      </c>
      <c r="G117" s="859">
        <f>'2025'!R35</f>
        <v>121.31298862662871</v>
      </c>
      <c r="H117" s="835"/>
      <c r="I117" s="831"/>
    </row>
    <row r="118" spans="2:9" ht="15">
      <c r="B118" s="857" t="s">
        <v>351</v>
      </c>
      <c r="C118" s="858">
        <f>'2022'!R36</f>
        <v>18.396000000000001</v>
      </c>
      <c r="D118" s="858">
        <f>SUM('2023'!E36:I36)</f>
        <v>12.270999999999999</v>
      </c>
      <c r="E118" s="859">
        <f>SUM('2023'!J36:P36)</f>
        <v>21.467000000000002</v>
      </c>
      <c r="F118" s="859">
        <f>'2024'!R36</f>
        <v>38.010023270086108</v>
      </c>
      <c r="G118" s="859">
        <f>'2025'!R36</f>
        <v>60.779246173154306</v>
      </c>
      <c r="H118" s="835"/>
      <c r="I118" s="831"/>
    </row>
    <row r="119" spans="2:9" ht="15">
      <c r="B119" s="857" t="s">
        <v>352</v>
      </c>
      <c r="C119" s="858">
        <f>'2022'!R37</f>
        <v>61.813000000000002</v>
      </c>
      <c r="D119" s="858">
        <f>SUM('2023'!E37:I37)</f>
        <v>41.231000000000002</v>
      </c>
      <c r="E119" s="859">
        <f>SUM('2023'!J37:P37)</f>
        <v>72.128999999999991</v>
      </c>
      <c r="F119" s="859">
        <f>'2024'!R37</f>
        <v>127.71367818749358</v>
      </c>
      <c r="G119" s="859">
        <f>'2025'!R37</f>
        <v>203.51612650350293</v>
      </c>
      <c r="H119" s="835"/>
      <c r="I119" s="831"/>
    </row>
    <row r="120" spans="2:9" ht="15">
      <c r="B120" s="857" t="s">
        <v>353</v>
      </c>
      <c r="C120" s="858">
        <f>'2022'!R38</f>
        <v>51.866000000000007</v>
      </c>
      <c r="D120" s="858">
        <f>SUM('2023'!E38:I38)</f>
        <v>37.054000000000002</v>
      </c>
      <c r="E120" s="859">
        <f>SUM('2023'!J38:P38)</f>
        <v>64.45</v>
      </c>
      <c r="F120" s="859">
        <f>'2024'!R38</f>
        <v>139.11672498901959</v>
      </c>
      <c r="G120" s="859">
        <f>'2025'!R38</f>
        <v>202.9510124010113</v>
      </c>
      <c r="H120" s="835"/>
      <c r="I120" s="831"/>
    </row>
    <row r="121" spans="2:9" ht="15">
      <c r="B121" s="860" t="s">
        <v>204</v>
      </c>
      <c r="C121" s="861">
        <f>SUM(C113:C120)</f>
        <v>5509.4769999999999</v>
      </c>
      <c r="D121" s="861">
        <f>SUM(D113:D120)</f>
        <v>4002.4840000000004</v>
      </c>
      <c r="E121" s="862">
        <f>SUM(E113:E120)</f>
        <v>6843.1459999999997</v>
      </c>
      <c r="F121" s="862">
        <f>SUM(F113:F120)</f>
        <v>15259.007022550248</v>
      </c>
      <c r="G121" s="862">
        <f>SUM(G113:G120)</f>
        <v>21897.289531552236</v>
      </c>
      <c r="H121" s="835"/>
      <c r="I121" s="831"/>
    </row>
    <row r="122" spans="2:9">
      <c r="B122" s="853"/>
      <c r="C122" s="835"/>
      <c r="D122" s="835"/>
      <c r="E122" s="835"/>
      <c r="F122" s="835"/>
      <c r="G122" s="835"/>
      <c r="H122" s="835"/>
      <c r="I122" s="831"/>
    </row>
    <row r="123" spans="2:9">
      <c r="B123" s="833"/>
      <c r="C123" s="831"/>
      <c r="D123" s="831"/>
      <c r="E123" s="831"/>
      <c r="F123" s="831"/>
      <c r="G123" s="831"/>
      <c r="H123" s="831"/>
      <c r="I123" s="831"/>
    </row>
  </sheetData>
  <mergeCells count="2">
    <mergeCell ref="C110:D110"/>
    <mergeCell ref="E110:G110"/>
  </mergeCells>
  <phoneticPr fontId="7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D4B92-0445-9C45-BF19-82D316E153A7}">
  <sheetPr>
    <tabColor theme="7"/>
  </sheetPr>
  <dimension ref="B2:T208"/>
  <sheetViews>
    <sheetView workbookViewId="0">
      <selection activeCell="D7" sqref="D7"/>
    </sheetView>
  </sheetViews>
  <sheetFormatPr defaultColWidth="11.42578125" defaultRowHeight="12.95"/>
  <cols>
    <col min="2" max="2" width="6.140625" customWidth="1"/>
    <col min="3" max="3" width="30.85546875" customWidth="1"/>
    <col min="4" max="4" width="32.7109375" bestFit="1" customWidth="1"/>
    <col min="5" max="5" width="34.42578125" bestFit="1" customWidth="1"/>
    <col min="6" max="6" width="34.140625" bestFit="1" customWidth="1"/>
    <col min="7" max="7" width="34.28515625" bestFit="1" customWidth="1"/>
    <col min="8" max="8" width="34.42578125" bestFit="1" customWidth="1"/>
    <col min="9" max="9" width="32.7109375" bestFit="1" customWidth="1"/>
    <col min="10" max="10" width="34.28515625" bestFit="1" customWidth="1"/>
    <col min="11" max="11" width="28.28515625" customWidth="1"/>
    <col min="12" max="12" width="34.140625" bestFit="1" customWidth="1"/>
    <col min="13" max="15" width="34.42578125" bestFit="1" customWidth="1"/>
    <col min="16" max="16" width="37" bestFit="1" customWidth="1"/>
    <col min="17" max="18" width="37.140625" bestFit="1" customWidth="1"/>
    <col min="19" max="19" width="37" bestFit="1" customWidth="1"/>
    <col min="20" max="20" width="35.28515625" bestFit="1" customWidth="1"/>
  </cols>
  <sheetData>
    <row r="2" spans="3:12" ht="15" thickBot="1">
      <c r="C2" s="409" t="s">
        <v>354</v>
      </c>
      <c r="D2" s="407"/>
      <c r="E2" s="490"/>
      <c r="F2" s="407"/>
      <c r="G2" s="407"/>
      <c r="H2" s="1113">
        <f>AVERAGE(E10:G10)</f>
        <v>0.60930133462354819</v>
      </c>
      <c r="I2" s="407"/>
      <c r="J2" s="407"/>
      <c r="K2" s="407"/>
    </row>
    <row r="3" spans="3:12" ht="14.1">
      <c r="C3" s="610"/>
      <c r="D3" s="614">
        <v>2020</v>
      </c>
      <c r="E3" s="614">
        <v>2021</v>
      </c>
      <c r="F3" s="614">
        <v>2022</v>
      </c>
      <c r="G3" s="615" t="s">
        <v>355</v>
      </c>
      <c r="H3" s="616" t="s">
        <v>356</v>
      </c>
      <c r="I3" s="614">
        <v>2024</v>
      </c>
      <c r="J3" s="614">
        <v>2025</v>
      </c>
      <c r="K3" s="617" t="s">
        <v>25</v>
      </c>
    </row>
    <row r="4" spans="3:12" ht="15" thickBot="1">
      <c r="C4" s="618"/>
      <c r="D4" s="619" t="s">
        <v>17</v>
      </c>
      <c r="E4" s="619" t="s">
        <v>17</v>
      </c>
      <c r="F4" s="619" t="s">
        <v>17</v>
      </c>
      <c r="G4" s="619" t="s">
        <v>17</v>
      </c>
      <c r="H4" s="619" t="s">
        <v>17</v>
      </c>
      <c r="I4" s="619" t="s">
        <v>17</v>
      </c>
      <c r="J4" s="619" t="s">
        <v>17</v>
      </c>
      <c r="K4" s="620" t="s">
        <v>357</v>
      </c>
    </row>
    <row r="5" spans="3:12" ht="15" thickBot="1">
      <c r="C5" s="611" t="s">
        <v>358</v>
      </c>
      <c r="D5" s="612" t="str">
        <f>R25</f>
        <v xml:space="preserve">                                            -  </v>
      </c>
      <c r="E5" s="612">
        <f>Q57</f>
        <v>0</v>
      </c>
      <c r="F5" s="612">
        <v>0.1</v>
      </c>
      <c r="G5" s="612">
        <v>0.1</v>
      </c>
      <c r="H5" s="612">
        <f>SUM(I113:O113)</f>
        <v>0</v>
      </c>
      <c r="I5" s="612" t="str">
        <f>Q135</f>
        <v xml:space="preserve">                                             -  </v>
      </c>
      <c r="J5" s="613" t="str">
        <f>P177</f>
        <v xml:space="preserve">                                          -  </v>
      </c>
      <c r="K5" s="577"/>
    </row>
    <row r="6" spans="3:12" ht="15" thickBot="1">
      <c r="C6" s="480" t="s">
        <v>359</v>
      </c>
      <c r="D6" s="411">
        <f>R36</f>
        <v>532903591315.28998</v>
      </c>
      <c r="E6" s="411">
        <f>Q68</f>
        <v>1051131844062.1899</v>
      </c>
      <c r="F6" s="411">
        <f>R97</f>
        <v>1362499906915.6401</v>
      </c>
      <c r="G6" s="411">
        <f>SUM(D123:H123)</f>
        <v>885182554062.18994</v>
      </c>
      <c r="H6" s="411">
        <f>SUM(I123:O123)</f>
        <v>902341271530.96008</v>
      </c>
      <c r="I6" s="411">
        <f>Q153</f>
        <v>3675881131198.8198</v>
      </c>
      <c r="J6" s="576">
        <f>P196</f>
        <v>4034419944445.5</v>
      </c>
      <c r="K6" s="629">
        <f>SUM(H6:J6)</f>
        <v>8612642347175.2803</v>
      </c>
    </row>
    <row r="7" spans="3:12" ht="15" thickBot="1">
      <c r="C7" s="579" t="s">
        <v>204</v>
      </c>
      <c r="D7" s="575">
        <f t="shared" ref="D7:J7" si="0">SUM(D5:D6)</f>
        <v>532903591315.28998</v>
      </c>
      <c r="E7" s="575">
        <f t="shared" si="0"/>
        <v>1051131844062.1899</v>
      </c>
      <c r="F7" s="575">
        <f t="shared" si="0"/>
        <v>1362499906915.7402</v>
      </c>
      <c r="G7" s="575">
        <f t="shared" si="0"/>
        <v>885182554062.28992</v>
      </c>
      <c r="H7" s="575">
        <f t="shared" si="0"/>
        <v>902341271530.96008</v>
      </c>
      <c r="I7" s="575">
        <f t="shared" si="0"/>
        <v>3675881131198.8198</v>
      </c>
      <c r="J7" s="580">
        <f t="shared" si="0"/>
        <v>4034419944445.5</v>
      </c>
      <c r="K7" s="629">
        <f>SUM(H7:J7)</f>
        <v>8612642347175.2803</v>
      </c>
    </row>
    <row r="8" spans="3:12" ht="15" thickBot="1">
      <c r="C8" s="579" t="s">
        <v>360</v>
      </c>
      <c r="D8" s="621"/>
      <c r="E8" s="621"/>
      <c r="F8" s="621"/>
      <c r="G8" s="1112"/>
      <c r="H8" s="612">
        <f>(G7/5*7)</f>
        <v>1239255575687.2058</v>
      </c>
      <c r="I8" s="621">
        <f>(G7/5*12)</f>
        <v>2124438129749.4956</v>
      </c>
      <c r="J8" s="621">
        <f>(G7/5*12)</f>
        <v>2124438129749.4956</v>
      </c>
      <c r="K8" s="629">
        <f>SUM(H8:J8)</f>
        <v>5488131835186.1973</v>
      </c>
      <c r="L8" s="231" t="s">
        <v>361</v>
      </c>
    </row>
    <row r="9" spans="3:12" ht="15" thickBot="1">
      <c r="C9" s="626" t="s">
        <v>25</v>
      </c>
      <c r="D9" s="627"/>
      <c r="E9" s="627"/>
      <c r="F9" s="627"/>
      <c r="G9" s="628">
        <f>SUM(G8:G8)</f>
        <v>0</v>
      </c>
      <c r="H9" s="628">
        <f>H7-H8</f>
        <v>-336914304156.24573</v>
      </c>
      <c r="I9" s="628">
        <f>I7-I8</f>
        <v>1551443001449.3242</v>
      </c>
      <c r="J9" s="628">
        <f>J7-J8</f>
        <v>1909981814696.0044</v>
      </c>
      <c r="K9" s="629">
        <f>SUM(H9:J9)</f>
        <v>3124510511989.083</v>
      </c>
    </row>
    <row r="10" spans="3:12" ht="15" thickBot="1">
      <c r="C10" s="622" t="s">
        <v>362</v>
      </c>
      <c r="D10" s="595"/>
      <c r="E10" s="630">
        <f>(E7-D7)/D7</f>
        <v>0.97246155063025763</v>
      </c>
      <c r="F10" s="630">
        <f>(F7-E7)/E7</f>
        <v>0.29622170102871348</v>
      </c>
      <c r="G10" s="630">
        <f>((G7/5*12)-F7)/F7</f>
        <v>0.55922075221167344</v>
      </c>
      <c r="H10" s="623"/>
      <c r="I10" s="623"/>
      <c r="J10" s="623"/>
      <c r="K10" s="631">
        <f>AVERAGE(E10:G10)</f>
        <v>0.60930133462354819</v>
      </c>
    </row>
    <row r="11" spans="3:12" ht="14.1">
      <c r="C11" s="499" t="s">
        <v>363</v>
      </c>
      <c r="D11" s="407"/>
      <c r="E11" s="407"/>
      <c r="F11" s="407"/>
      <c r="G11" s="407"/>
      <c r="H11" s="407"/>
      <c r="I11" s="407"/>
      <c r="J11" s="407"/>
      <c r="K11" s="407"/>
    </row>
    <row r="12" spans="3:12" ht="14.1">
      <c r="C12" s="408" t="s">
        <v>364</v>
      </c>
      <c r="D12" s="407"/>
      <c r="E12" s="407"/>
      <c r="F12" s="407"/>
      <c r="G12" s="407"/>
      <c r="H12" s="407"/>
      <c r="I12" s="407"/>
      <c r="J12" s="407"/>
      <c r="K12" s="407"/>
    </row>
    <row r="18" spans="2:19" ht="14.1">
      <c r="B18" s="956" t="s">
        <v>365</v>
      </c>
      <c r="C18" s="956"/>
      <c r="D18" s="956"/>
      <c r="E18" s="956"/>
      <c r="F18" s="956"/>
      <c r="G18" s="955"/>
      <c r="H18" s="955"/>
      <c r="I18" s="955"/>
      <c r="J18" s="955"/>
      <c r="K18" s="955"/>
      <c r="L18" s="955"/>
      <c r="M18" s="955"/>
      <c r="N18" s="955"/>
      <c r="O18" s="955"/>
      <c r="P18" s="955"/>
      <c r="Q18" s="955"/>
      <c r="R18" s="955"/>
      <c r="S18" s="955"/>
    </row>
    <row r="19" spans="2:19" ht="15">
      <c r="B19" s="984" t="s">
        <v>366</v>
      </c>
      <c r="C19" s="1214" t="s">
        <v>367</v>
      </c>
      <c r="D19" s="985" t="s">
        <v>368</v>
      </c>
      <c r="E19" s="985" t="s">
        <v>369</v>
      </c>
      <c r="F19" s="985" t="s">
        <v>370</v>
      </c>
      <c r="G19" s="985" t="s">
        <v>371</v>
      </c>
      <c r="H19" s="985" t="s">
        <v>316</v>
      </c>
      <c r="I19" s="985" t="s">
        <v>372</v>
      </c>
      <c r="J19" s="985" t="s">
        <v>373</v>
      </c>
      <c r="K19" s="1214" t="s">
        <v>367</v>
      </c>
      <c r="L19" s="985" t="s">
        <v>374</v>
      </c>
      <c r="M19" s="986" t="s">
        <v>375</v>
      </c>
      <c r="N19" s="986" t="s">
        <v>376</v>
      </c>
      <c r="O19" s="986" t="s">
        <v>377</v>
      </c>
      <c r="P19" s="986" t="s">
        <v>378</v>
      </c>
      <c r="Q19" s="987" t="s">
        <v>379</v>
      </c>
      <c r="R19" s="988" t="s">
        <v>380</v>
      </c>
      <c r="S19" s="987" t="s">
        <v>381</v>
      </c>
    </row>
    <row r="20" spans="2:19" ht="14.1">
      <c r="B20" s="989"/>
      <c r="C20" s="1215"/>
      <c r="D20" s="990" t="s">
        <v>382</v>
      </c>
      <c r="E20" s="991" t="s">
        <v>382</v>
      </c>
      <c r="F20" s="991" t="s">
        <v>382</v>
      </c>
      <c r="G20" s="991" t="s">
        <v>382</v>
      </c>
      <c r="H20" s="991" t="s">
        <v>382</v>
      </c>
      <c r="I20" s="991" t="s">
        <v>382</v>
      </c>
      <c r="J20" s="991" t="s">
        <v>382</v>
      </c>
      <c r="K20" s="1215"/>
      <c r="L20" s="990" t="s">
        <v>382</v>
      </c>
      <c r="M20" s="991" t="s">
        <v>382</v>
      </c>
      <c r="N20" s="991" t="s">
        <v>382</v>
      </c>
      <c r="O20" s="991" t="s">
        <v>382</v>
      </c>
      <c r="P20" s="991" t="s">
        <v>382</v>
      </c>
      <c r="Q20" s="991" t="s">
        <v>382</v>
      </c>
      <c r="R20" s="991" t="s">
        <v>382</v>
      </c>
      <c r="S20" s="991" t="s">
        <v>382</v>
      </c>
    </row>
    <row r="21" spans="2:19" ht="15">
      <c r="B21" s="988" t="s">
        <v>383</v>
      </c>
      <c r="C21" s="992" t="s">
        <v>384</v>
      </c>
      <c r="D21" s="993"/>
      <c r="E21" s="993"/>
      <c r="F21" s="993"/>
      <c r="G21" s="993"/>
      <c r="H21" s="993"/>
      <c r="I21" s="993"/>
      <c r="J21" s="993"/>
      <c r="K21" s="992" t="s">
        <v>384</v>
      </c>
      <c r="L21" s="993"/>
      <c r="M21" s="993"/>
      <c r="N21" s="993"/>
      <c r="O21" s="993"/>
      <c r="P21" s="993"/>
      <c r="Q21" s="993"/>
      <c r="R21" s="994" t="s">
        <v>385</v>
      </c>
      <c r="S21" s="994"/>
    </row>
    <row r="22" spans="2:19" ht="15">
      <c r="B22" s="995" t="s">
        <v>386</v>
      </c>
      <c r="C22" s="992" t="s">
        <v>387</v>
      </c>
      <c r="D22" s="996"/>
      <c r="E22" s="996"/>
      <c r="F22" s="996"/>
      <c r="G22" s="996"/>
      <c r="H22" s="996"/>
      <c r="I22" s="996"/>
      <c r="J22" s="996"/>
      <c r="K22" s="992" t="s">
        <v>387</v>
      </c>
      <c r="L22" s="996"/>
      <c r="M22" s="996"/>
      <c r="N22" s="996"/>
      <c r="O22" s="996"/>
      <c r="P22" s="996"/>
      <c r="Q22" s="996"/>
      <c r="R22" s="997" t="s">
        <v>385</v>
      </c>
      <c r="S22" s="997"/>
    </row>
    <row r="23" spans="2:19" ht="15">
      <c r="B23" s="995" t="s">
        <v>388</v>
      </c>
      <c r="C23" s="992" t="s">
        <v>389</v>
      </c>
      <c r="D23" s="996"/>
      <c r="E23" s="996"/>
      <c r="F23" s="996"/>
      <c r="G23" s="996"/>
      <c r="H23" s="996"/>
      <c r="I23" s="996"/>
      <c r="J23" s="996"/>
      <c r="K23" s="992" t="s">
        <v>389</v>
      </c>
      <c r="L23" s="996"/>
      <c r="M23" s="996"/>
      <c r="N23" s="996"/>
      <c r="O23" s="996"/>
      <c r="P23" s="996"/>
      <c r="Q23" s="996"/>
      <c r="R23" s="997" t="s">
        <v>385</v>
      </c>
      <c r="S23" s="997"/>
    </row>
    <row r="24" spans="2:19" ht="15">
      <c r="B24" s="995" t="s">
        <v>390</v>
      </c>
      <c r="C24" s="992" t="s">
        <v>391</v>
      </c>
      <c r="D24" s="996"/>
      <c r="E24" s="996"/>
      <c r="F24" s="996"/>
      <c r="G24" s="996"/>
      <c r="H24" s="996"/>
      <c r="I24" s="996"/>
      <c r="J24" s="996"/>
      <c r="K24" s="992" t="s">
        <v>391</v>
      </c>
      <c r="L24" s="996"/>
      <c r="M24" s="996"/>
      <c r="N24" s="996"/>
      <c r="O24" s="996"/>
      <c r="P24" s="996"/>
      <c r="Q24" s="996"/>
      <c r="R24" s="997" t="s">
        <v>385</v>
      </c>
      <c r="S24" s="997"/>
    </row>
    <row r="25" spans="2:19" ht="15">
      <c r="B25" s="995"/>
      <c r="C25" s="992" t="s">
        <v>392</v>
      </c>
      <c r="D25" s="998"/>
      <c r="E25" s="998"/>
      <c r="F25" s="998"/>
      <c r="G25" s="998"/>
      <c r="H25" s="998"/>
      <c r="I25" s="998"/>
      <c r="J25" s="998"/>
      <c r="K25" s="992" t="s">
        <v>392</v>
      </c>
      <c r="L25" s="998"/>
      <c r="M25" s="998"/>
      <c r="N25" s="998"/>
      <c r="O25" s="998"/>
      <c r="P25" s="998"/>
      <c r="Q25" s="996" t="s">
        <v>393</v>
      </c>
      <c r="R25" s="997" t="s">
        <v>385</v>
      </c>
      <c r="S25" s="997" t="s">
        <v>394</v>
      </c>
    </row>
    <row r="26" spans="2:19" ht="15">
      <c r="B26" s="995" t="s">
        <v>395</v>
      </c>
      <c r="C26" s="992" t="s">
        <v>396</v>
      </c>
      <c r="D26" s="996">
        <v>218557737.80000001</v>
      </c>
      <c r="E26" s="996">
        <v>12144408891.65</v>
      </c>
      <c r="F26" s="996">
        <v>5385976064.5799999</v>
      </c>
      <c r="G26" s="996">
        <v>9500000000</v>
      </c>
      <c r="H26" s="996">
        <v>4912628092.3999996</v>
      </c>
      <c r="I26" s="996">
        <v>3626797281.6500001</v>
      </c>
      <c r="J26" s="996">
        <v>4642957405.5299997</v>
      </c>
      <c r="K26" s="992" t="s">
        <v>396</v>
      </c>
      <c r="L26" s="996">
        <v>43534487009.559998</v>
      </c>
      <c r="M26" s="996">
        <v>28726071489.939999</v>
      </c>
      <c r="N26" s="996">
        <v>2315324782.6700001</v>
      </c>
      <c r="O26" s="996">
        <v>27316707243.16</v>
      </c>
      <c r="P26" s="996">
        <v>9514757777.7199993</v>
      </c>
      <c r="Q26" s="996" t="s">
        <v>393</v>
      </c>
      <c r="R26" s="997">
        <v>151838673776.66</v>
      </c>
      <c r="S26" s="997" t="s">
        <v>394</v>
      </c>
    </row>
    <row r="27" spans="2:19" ht="15">
      <c r="B27" s="995" t="s">
        <v>397</v>
      </c>
      <c r="C27" s="992" t="s">
        <v>398</v>
      </c>
      <c r="D27" s="996"/>
      <c r="E27" s="996"/>
      <c r="F27" s="996"/>
      <c r="G27" s="996"/>
      <c r="H27" s="996"/>
      <c r="I27" s="996"/>
      <c r="J27" s="996"/>
      <c r="K27" s="992" t="s">
        <v>398</v>
      </c>
      <c r="L27" s="996"/>
      <c r="M27" s="996"/>
      <c r="N27" s="996"/>
      <c r="O27" s="996"/>
      <c r="P27" s="996"/>
      <c r="Q27" s="996"/>
      <c r="R27" s="997" t="s">
        <v>385</v>
      </c>
      <c r="S27" s="997"/>
    </row>
    <row r="28" spans="2:19" ht="15">
      <c r="B28" s="995" t="s">
        <v>399</v>
      </c>
      <c r="C28" s="992" t="s">
        <v>400</v>
      </c>
      <c r="D28" s="996"/>
      <c r="E28" s="996"/>
      <c r="F28" s="996"/>
      <c r="G28" s="996"/>
      <c r="H28" s="996"/>
      <c r="I28" s="996"/>
      <c r="J28" s="996"/>
      <c r="K28" s="992" t="s">
        <v>400</v>
      </c>
      <c r="L28" s="996"/>
      <c r="M28" s="996">
        <v>8099080276.0500002</v>
      </c>
      <c r="N28" s="996"/>
      <c r="O28" s="996"/>
      <c r="P28" s="996"/>
      <c r="Q28" s="996"/>
      <c r="R28" s="997">
        <v>8099080276.0500002</v>
      </c>
      <c r="S28" s="997"/>
    </row>
    <row r="29" spans="2:19" ht="15">
      <c r="B29" s="995" t="s">
        <v>395</v>
      </c>
      <c r="C29" s="992" t="s">
        <v>401</v>
      </c>
      <c r="D29" s="996">
        <v>4478973516.3699999</v>
      </c>
      <c r="E29" s="996">
        <v>3774722972.2800002</v>
      </c>
      <c r="F29" s="996">
        <v>5290448896.9200001</v>
      </c>
      <c r="G29" s="996">
        <v>1355242473.27</v>
      </c>
      <c r="H29" s="996">
        <v>2483416927.8400002</v>
      </c>
      <c r="I29" s="996">
        <v>16562870629.530001</v>
      </c>
      <c r="J29" s="996">
        <v>2677937074.6199999</v>
      </c>
      <c r="K29" s="992" t="s">
        <v>401</v>
      </c>
      <c r="L29" s="996">
        <v>10287050447.309999</v>
      </c>
      <c r="M29" s="996">
        <v>999455524.92999995</v>
      </c>
      <c r="N29" s="996">
        <v>12691481615.92</v>
      </c>
      <c r="O29" s="996">
        <v>46006206829.330002</v>
      </c>
      <c r="P29" s="996">
        <v>6540103065.7200003</v>
      </c>
      <c r="Q29" s="996"/>
      <c r="R29" s="997">
        <v>113147909974.03999</v>
      </c>
      <c r="S29" s="997"/>
    </row>
    <row r="30" spans="2:19" ht="15">
      <c r="B30" s="995" t="s">
        <v>397</v>
      </c>
      <c r="C30" s="992" t="s">
        <v>402</v>
      </c>
      <c r="D30" s="996">
        <v>6674518250.1800003</v>
      </c>
      <c r="E30" s="996">
        <v>17682245429.119999</v>
      </c>
      <c r="F30" s="996">
        <v>23287835623.830002</v>
      </c>
      <c r="G30" s="996">
        <v>331392510.44999999</v>
      </c>
      <c r="H30" s="996">
        <v>12942936142.129999</v>
      </c>
      <c r="I30" s="996">
        <v>12051978374.639999</v>
      </c>
      <c r="J30" s="996">
        <v>27382300571.869999</v>
      </c>
      <c r="K30" s="992" t="s">
        <v>402</v>
      </c>
      <c r="L30" s="996">
        <v>21972861567.75</v>
      </c>
      <c r="M30" s="996">
        <v>27532663672.59</v>
      </c>
      <c r="N30" s="996">
        <v>264638575.59</v>
      </c>
      <c r="O30" s="996">
        <v>1250086884.8900001</v>
      </c>
      <c r="P30" s="996">
        <v>58259298334.209999</v>
      </c>
      <c r="Q30" s="996"/>
      <c r="R30" s="997">
        <v>209632755937.25</v>
      </c>
      <c r="S30" s="997"/>
    </row>
    <row r="31" spans="2:19" ht="15">
      <c r="B31" s="995"/>
      <c r="C31" s="992" t="s">
        <v>403</v>
      </c>
      <c r="D31" s="996">
        <v>62092420.979999997</v>
      </c>
      <c r="E31" s="996">
        <v>61945960.719999999</v>
      </c>
      <c r="F31" s="996">
        <v>423498743.81</v>
      </c>
      <c r="G31" s="996">
        <v>5410164886.8699999</v>
      </c>
      <c r="H31" s="996">
        <v>2107516599.22</v>
      </c>
      <c r="I31" s="996">
        <v>609456951.90999997</v>
      </c>
      <c r="J31" s="996">
        <v>19748444460.259998</v>
      </c>
      <c r="K31" s="992" t="s">
        <v>403</v>
      </c>
      <c r="L31" s="996">
        <v>189851216.97</v>
      </c>
      <c r="M31" s="996">
        <v>189755794.52000001</v>
      </c>
      <c r="N31" s="996">
        <v>836607885.92999995</v>
      </c>
      <c r="O31" s="996"/>
      <c r="P31" s="996">
        <v>1319013021.28</v>
      </c>
      <c r="Q31" s="996"/>
      <c r="R31" s="997">
        <v>30958347942.470001</v>
      </c>
      <c r="S31" s="997"/>
    </row>
    <row r="32" spans="2:19" ht="15">
      <c r="B32" s="995" t="s">
        <v>399</v>
      </c>
      <c r="C32" s="992" t="s">
        <v>404</v>
      </c>
      <c r="D32" s="996"/>
      <c r="E32" s="996"/>
      <c r="F32" s="996"/>
      <c r="G32" s="996"/>
      <c r="H32" s="996"/>
      <c r="I32" s="996"/>
      <c r="J32" s="996"/>
      <c r="K32" s="992" t="s">
        <v>404</v>
      </c>
      <c r="L32" s="996"/>
      <c r="M32" s="996"/>
      <c r="N32" s="996"/>
      <c r="O32" s="996"/>
      <c r="P32" s="996"/>
      <c r="Q32" s="996"/>
      <c r="R32" s="997" t="s">
        <v>385</v>
      </c>
      <c r="S32" s="997"/>
    </row>
    <row r="33" spans="2:19" ht="15">
      <c r="B33" s="995" t="s">
        <v>395</v>
      </c>
      <c r="C33" s="992" t="s">
        <v>405</v>
      </c>
      <c r="D33" s="998"/>
      <c r="E33" s="998"/>
      <c r="F33" s="998"/>
      <c r="G33" s="996" t="s">
        <v>394</v>
      </c>
      <c r="H33" s="996"/>
      <c r="I33" s="996"/>
      <c r="J33" s="998"/>
      <c r="K33" s="992" t="s">
        <v>405</v>
      </c>
      <c r="L33" s="998"/>
      <c r="M33" s="998"/>
      <c r="N33" s="998"/>
      <c r="O33" s="998"/>
      <c r="P33" s="998"/>
      <c r="Q33" s="998"/>
      <c r="R33" s="997" t="s">
        <v>385</v>
      </c>
      <c r="S33" s="997"/>
    </row>
    <row r="34" spans="2:19" ht="15">
      <c r="B34" s="995"/>
      <c r="C34" s="992" t="s">
        <v>406</v>
      </c>
      <c r="D34" s="998"/>
      <c r="E34" s="998"/>
      <c r="F34" s="998"/>
      <c r="G34" s="996"/>
      <c r="H34" s="996"/>
      <c r="I34" s="996"/>
      <c r="J34" s="998"/>
      <c r="K34" s="992" t="s">
        <v>406</v>
      </c>
      <c r="L34" s="998"/>
      <c r="M34" s="998"/>
      <c r="N34" s="996">
        <v>19226823408.82</v>
      </c>
      <c r="O34" s="998"/>
      <c r="P34" s="998"/>
      <c r="Q34" s="998"/>
      <c r="R34" s="997">
        <v>19226823408.82</v>
      </c>
      <c r="S34" s="997"/>
    </row>
    <row r="35" spans="2:19" ht="15">
      <c r="B35" s="995" t="s">
        <v>397</v>
      </c>
      <c r="C35" s="992" t="s">
        <v>407</v>
      </c>
      <c r="D35" s="998"/>
      <c r="E35" s="998"/>
      <c r="F35" s="998"/>
      <c r="G35" s="998"/>
      <c r="H35" s="998"/>
      <c r="I35" s="998"/>
      <c r="J35" s="996"/>
      <c r="K35" s="992" t="s">
        <v>407</v>
      </c>
      <c r="L35" s="998"/>
      <c r="M35" s="996"/>
      <c r="N35" s="996"/>
      <c r="O35" s="996"/>
      <c r="P35" s="996"/>
      <c r="Q35" s="996"/>
      <c r="R35" s="997" t="s">
        <v>385</v>
      </c>
      <c r="S35" s="997"/>
    </row>
    <row r="36" spans="2:19" ht="14.1">
      <c r="B36" s="1216" t="s">
        <v>408</v>
      </c>
      <c r="C36" s="1217"/>
      <c r="D36" s="999">
        <v>11434141925.33</v>
      </c>
      <c r="E36" s="999">
        <v>33663323253.77</v>
      </c>
      <c r="F36" s="998">
        <v>34387759329.139999</v>
      </c>
      <c r="G36" s="999">
        <v>16596799870.59</v>
      </c>
      <c r="H36" s="999">
        <v>22446497761.59</v>
      </c>
      <c r="I36" s="999">
        <v>32851103237.73</v>
      </c>
      <c r="J36" s="999">
        <v>54451639512.279999</v>
      </c>
      <c r="K36" s="999" t="s">
        <v>409</v>
      </c>
      <c r="L36" s="999">
        <v>75984250241.589996</v>
      </c>
      <c r="M36" s="999">
        <v>65547026758.029999</v>
      </c>
      <c r="N36" s="999">
        <v>35334876268.93</v>
      </c>
      <c r="O36" s="999">
        <v>74573000957.380005</v>
      </c>
      <c r="P36" s="999">
        <v>75633172198.929993</v>
      </c>
      <c r="Q36" s="999"/>
      <c r="R36" s="997">
        <v>532903591315.28998</v>
      </c>
      <c r="S36" s="997"/>
    </row>
    <row r="37" spans="2:19" ht="14.1">
      <c r="B37" s="990"/>
      <c r="C37" s="1000" t="s">
        <v>410</v>
      </c>
      <c r="D37" s="999"/>
      <c r="E37" s="999"/>
      <c r="F37" s="999"/>
      <c r="G37" s="999"/>
      <c r="H37" s="999"/>
      <c r="I37" s="999"/>
      <c r="J37" s="999"/>
      <c r="K37" s="1000" t="s">
        <v>410</v>
      </c>
      <c r="L37" s="999"/>
      <c r="M37" s="999"/>
      <c r="N37" s="999"/>
      <c r="O37" s="999"/>
      <c r="P37" s="999"/>
      <c r="Q37" s="999"/>
      <c r="R37" s="997"/>
      <c r="S37" s="997"/>
    </row>
    <row r="38" spans="2:19" ht="14.1">
      <c r="B38" s="990" t="s">
        <v>411</v>
      </c>
      <c r="C38" s="1000" t="s">
        <v>353</v>
      </c>
      <c r="D38" s="1001" t="s">
        <v>394</v>
      </c>
      <c r="E38" s="1001" t="s">
        <v>412</v>
      </c>
      <c r="F38" s="1001" t="s">
        <v>385</v>
      </c>
      <c r="G38" s="1001" t="s">
        <v>394</v>
      </c>
      <c r="H38" s="1001" t="s">
        <v>412</v>
      </c>
      <c r="I38" s="1001" t="s">
        <v>413</v>
      </c>
      <c r="J38" s="1001"/>
      <c r="K38" s="1000" t="s">
        <v>353</v>
      </c>
      <c r="L38" s="1001"/>
      <c r="M38" s="1001"/>
      <c r="N38" s="1001"/>
      <c r="O38" s="1001"/>
      <c r="P38" s="1001"/>
      <c r="Q38" s="1001"/>
      <c r="R38" s="997"/>
      <c r="S38" s="997"/>
    </row>
    <row r="39" spans="2:19" ht="14.1">
      <c r="B39" s="990" t="s">
        <v>414</v>
      </c>
      <c r="C39" s="1000" t="s">
        <v>415</v>
      </c>
      <c r="D39" s="1001" t="s">
        <v>394</v>
      </c>
      <c r="E39" s="1001" t="s">
        <v>412</v>
      </c>
      <c r="F39" s="1001" t="s">
        <v>385</v>
      </c>
      <c r="G39" s="1001" t="s">
        <v>394</v>
      </c>
      <c r="H39" s="1001" t="s">
        <v>412</v>
      </c>
      <c r="I39" s="1001" t="s">
        <v>413</v>
      </c>
      <c r="J39" s="1001" t="s">
        <v>416</v>
      </c>
      <c r="K39" s="1000" t="s">
        <v>415</v>
      </c>
      <c r="L39" s="1001"/>
      <c r="M39" s="1001"/>
      <c r="N39" s="1001"/>
      <c r="O39" s="1001"/>
      <c r="P39" s="1001"/>
      <c r="Q39" s="1001"/>
      <c r="R39" s="997"/>
      <c r="S39" s="997"/>
    </row>
    <row r="40" spans="2:19" ht="14.1">
      <c r="B40" s="990"/>
      <c r="C40" s="1000" t="s">
        <v>417</v>
      </c>
      <c r="D40" s="999" t="s">
        <v>394</v>
      </c>
      <c r="E40" s="999" t="s">
        <v>412</v>
      </c>
      <c r="F40" s="999" t="s">
        <v>385</v>
      </c>
      <c r="G40" s="999" t="s">
        <v>394</v>
      </c>
      <c r="H40" s="999" t="s">
        <v>412</v>
      </c>
      <c r="I40" s="999" t="s">
        <v>413</v>
      </c>
      <c r="J40" s="999" t="s">
        <v>416</v>
      </c>
      <c r="K40" s="1000" t="s">
        <v>417</v>
      </c>
      <c r="L40" s="999"/>
      <c r="M40" s="999"/>
      <c r="N40" s="999"/>
      <c r="O40" s="999"/>
      <c r="P40" s="999"/>
      <c r="Q40" s="999"/>
      <c r="R40" s="1002"/>
      <c r="S40" s="1002"/>
    </row>
    <row r="41" spans="2:19" ht="14.1">
      <c r="B41" s="957"/>
      <c r="C41" s="958" t="s">
        <v>418</v>
      </c>
      <c r="D41" s="959">
        <v>11434141925.33</v>
      </c>
      <c r="E41" s="959">
        <v>33663323253.77</v>
      </c>
      <c r="F41" s="959">
        <v>34387759329.139999</v>
      </c>
      <c r="G41" s="959">
        <v>16596799870.59</v>
      </c>
      <c r="H41" s="959">
        <v>22446497761.59</v>
      </c>
      <c r="I41" s="959">
        <v>32851103237.73</v>
      </c>
      <c r="J41" s="959">
        <v>54451639512.279999</v>
      </c>
      <c r="K41" s="958" t="s">
        <v>418</v>
      </c>
      <c r="L41" s="959">
        <v>75984250241.589996</v>
      </c>
      <c r="M41" s="959">
        <v>65547026758.029999</v>
      </c>
      <c r="N41" s="959">
        <v>35334876268.93</v>
      </c>
      <c r="O41" s="959">
        <v>74573000957.380005</v>
      </c>
      <c r="P41" s="959">
        <v>75633172198.929993</v>
      </c>
      <c r="Q41" s="959">
        <v>631079910674</v>
      </c>
      <c r="R41" s="959">
        <v>532903591315.28998</v>
      </c>
      <c r="S41" s="959">
        <v>98176319358.710007</v>
      </c>
    </row>
    <row r="42" spans="2:19">
      <c r="B42" s="1003"/>
      <c r="C42" s="1003"/>
      <c r="D42" s="1003"/>
      <c r="E42" s="1003"/>
      <c r="F42" s="1003"/>
      <c r="G42" s="1003"/>
      <c r="H42" s="1003"/>
      <c r="I42" s="1003"/>
      <c r="J42" s="1003"/>
      <c r="K42" s="1003"/>
      <c r="L42" s="1003"/>
      <c r="M42" s="1003"/>
      <c r="N42" s="1003"/>
      <c r="O42" s="1003"/>
      <c r="P42" s="1003"/>
      <c r="Q42" s="1003"/>
      <c r="R42" s="1003"/>
      <c r="S42" s="1003"/>
    </row>
    <row r="43" spans="2:19" ht="14.1">
      <c r="B43" s="1004"/>
      <c r="C43" s="1005" t="s">
        <v>419</v>
      </c>
      <c r="D43" s="1005" t="s">
        <v>420</v>
      </c>
      <c r="E43" s="1005" t="s">
        <v>420</v>
      </c>
      <c r="F43" s="1005" t="s">
        <v>420</v>
      </c>
      <c r="G43" s="1005" t="s">
        <v>420</v>
      </c>
      <c r="H43" s="1005" t="s">
        <v>420</v>
      </c>
      <c r="I43" s="1005" t="s">
        <v>420</v>
      </c>
      <c r="J43" s="1005" t="s">
        <v>420</v>
      </c>
      <c r="K43" s="1005"/>
      <c r="L43" s="1005" t="s">
        <v>420</v>
      </c>
      <c r="M43" s="1005"/>
      <c r="N43" s="1005"/>
      <c r="O43" s="1005"/>
      <c r="P43" s="1005"/>
      <c r="Q43" s="1003"/>
      <c r="R43" s="1003"/>
      <c r="S43" s="1003"/>
    </row>
    <row r="44" spans="2:19" ht="14.1">
      <c r="B44" s="1004">
        <v>1</v>
      </c>
      <c r="C44" s="1006" t="s">
        <v>421</v>
      </c>
      <c r="D44" s="1007">
        <v>1022975</v>
      </c>
      <c r="E44" s="1007">
        <v>0</v>
      </c>
      <c r="F44" s="1007">
        <v>0</v>
      </c>
      <c r="G44" s="1007">
        <v>0</v>
      </c>
      <c r="H44" s="1007">
        <v>0</v>
      </c>
      <c r="I44" s="1007">
        <v>0</v>
      </c>
      <c r="J44" s="1007">
        <v>1116000</v>
      </c>
      <c r="K44" s="1007"/>
      <c r="L44" s="1007"/>
      <c r="M44" s="1007"/>
      <c r="N44" s="1007"/>
      <c r="O44" s="1007"/>
      <c r="P44" s="1007"/>
      <c r="Q44" s="1003"/>
      <c r="R44" s="1003"/>
      <c r="S44" s="1003"/>
    </row>
    <row r="45" spans="2:19" ht="30">
      <c r="B45" s="1004">
        <v>2</v>
      </c>
      <c r="C45" s="1008" t="s">
        <v>422</v>
      </c>
      <c r="D45" s="1007">
        <v>0</v>
      </c>
      <c r="E45" s="1007">
        <v>327179.27</v>
      </c>
      <c r="F45" s="1007">
        <v>0</v>
      </c>
      <c r="G45" s="1007">
        <v>0</v>
      </c>
      <c r="H45" s="1007">
        <v>0</v>
      </c>
      <c r="I45" s="1007">
        <v>508585.55</v>
      </c>
      <c r="J45" s="1007"/>
      <c r="K45" s="1007"/>
      <c r="L45" s="1007"/>
      <c r="M45" s="1007"/>
      <c r="N45" s="1007"/>
      <c r="O45" s="1007"/>
      <c r="P45" s="1007"/>
      <c r="Q45" s="1003"/>
      <c r="R45" s="1003"/>
      <c r="S45" s="1003"/>
    </row>
    <row r="46" spans="2:19" ht="14.1">
      <c r="B46" s="1009"/>
      <c r="C46" s="1006" t="s">
        <v>25</v>
      </c>
      <c r="D46" s="1007">
        <v>0</v>
      </c>
      <c r="E46" s="1007"/>
      <c r="F46" s="1007">
        <v>0</v>
      </c>
      <c r="G46" s="1007">
        <v>0</v>
      </c>
      <c r="H46" s="1007">
        <v>0</v>
      </c>
      <c r="I46" s="1007">
        <v>0</v>
      </c>
      <c r="J46" s="1007"/>
      <c r="K46" s="1007"/>
      <c r="L46" s="1007"/>
      <c r="M46" s="1007"/>
      <c r="N46" s="1007"/>
      <c r="O46" s="1007"/>
      <c r="P46" s="1007"/>
      <c r="Q46" s="1003"/>
      <c r="R46" s="1003"/>
      <c r="S46" s="1003"/>
    </row>
    <row r="49" spans="2:19" ht="14.1">
      <c r="B49" s="960" t="s">
        <v>423</v>
      </c>
      <c r="C49" s="961"/>
      <c r="D49" s="961"/>
      <c r="E49" s="961"/>
      <c r="F49" s="961"/>
      <c r="G49" s="961"/>
      <c r="H49" s="961"/>
      <c r="I49" s="961"/>
      <c r="J49" s="961"/>
      <c r="K49" s="961"/>
      <c r="L49" s="961"/>
      <c r="M49" s="961"/>
      <c r="N49" s="961"/>
      <c r="O49" s="961"/>
      <c r="P49" s="961"/>
      <c r="Q49" s="961"/>
      <c r="R49" s="961"/>
      <c r="S49" s="961"/>
    </row>
    <row r="50" spans="2:19" ht="14.1">
      <c r="B50" s="962"/>
      <c r="C50" s="961"/>
      <c r="D50" s="961"/>
      <c r="E50" s="961"/>
      <c r="F50" s="961"/>
      <c r="G50" s="961"/>
      <c r="H50" s="961"/>
      <c r="I50" s="961"/>
      <c r="J50" s="961"/>
      <c r="K50" s="961"/>
      <c r="L50" s="963"/>
      <c r="M50" s="961"/>
      <c r="N50" s="961"/>
      <c r="O50" s="961"/>
      <c r="P50" s="961"/>
      <c r="Q50" s="961"/>
      <c r="R50" s="961"/>
      <c r="S50" s="961"/>
    </row>
    <row r="51" spans="2:19" ht="15">
      <c r="B51" s="964" t="s">
        <v>424</v>
      </c>
      <c r="C51" s="1218" t="s">
        <v>367</v>
      </c>
      <c r="D51" s="965" t="s">
        <v>312</v>
      </c>
      <c r="E51" s="965" t="s">
        <v>313</v>
      </c>
      <c r="F51" s="965" t="s">
        <v>314</v>
      </c>
      <c r="G51" s="965" t="s">
        <v>315</v>
      </c>
      <c r="H51" s="965" t="s">
        <v>316</v>
      </c>
      <c r="I51" s="965" t="s">
        <v>317</v>
      </c>
      <c r="J51" s="965" t="s">
        <v>318</v>
      </c>
      <c r="K51" s="1218" t="s">
        <v>367</v>
      </c>
      <c r="L51" s="965" t="s">
        <v>319</v>
      </c>
      <c r="M51" s="966" t="s">
        <v>320</v>
      </c>
      <c r="N51" s="966" t="s">
        <v>321</v>
      </c>
      <c r="O51" s="966" t="s">
        <v>322</v>
      </c>
      <c r="P51" s="966" t="s">
        <v>323</v>
      </c>
      <c r="Q51" s="967" t="s">
        <v>380</v>
      </c>
      <c r="R51" s="968" t="s">
        <v>379</v>
      </c>
      <c r="S51" s="968" t="s">
        <v>381</v>
      </c>
    </row>
    <row r="52" spans="2:19" ht="14.1">
      <c r="B52" s="969"/>
      <c r="C52" s="1218"/>
      <c r="D52" s="970" t="s">
        <v>382</v>
      </c>
      <c r="E52" s="970" t="s">
        <v>382</v>
      </c>
      <c r="F52" s="970" t="s">
        <v>382</v>
      </c>
      <c r="G52" s="970" t="s">
        <v>382</v>
      </c>
      <c r="H52" s="970" t="s">
        <v>382</v>
      </c>
      <c r="I52" s="970" t="s">
        <v>382</v>
      </c>
      <c r="J52" s="970" t="s">
        <v>382</v>
      </c>
      <c r="K52" s="1218"/>
      <c r="L52" s="970" t="s">
        <v>382</v>
      </c>
      <c r="M52" s="970" t="s">
        <v>382</v>
      </c>
      <c r="N52" s="970" t="s">
        <v>382</v>
      </c>
      <c r="O52" s="970" t="s">
        <v>382</v>
      </c>
      <c r="P52" s="970" t="s">
        <v>382</v>
      </c>
      <c r="Q52" s="970" t="s">
        <v>382</v>
      </c>
      <c r="R52" s="970" t="s">
        <v>382</v>
      </c>
      <c r="S52" s="970" t="s">
        <v>382</v>
      </c>
    </row>
    <row r="53" spans="2:19" ht="15">
      <c r="B53" s="967" t="s">
        <v>383</v>
      </c>
      <c r="C53" s="971" t="s">
        <v>384</v>
      </c>
      <c r="D53" s="972"/>
      <c r="E53" s="972"/>
      <c r="F53" s="972"/>
      <c r="G53" s="972"/>
      <c r="H53" s="972"/>
      <c r="I53" s="972"/>
      <c r="J53" s="972"/>
      <c r="K53" s="971" t="s">
        <v>384</v>
      </c>
      <c r="L53" s="972"/>
      <c r="M53" s="972"/>
      <c r="N53" s="972"/>
      <c r="O53" s="972"/>
      <c r="P53" s="972"/>
      <c r="Q53" s="973">
        <f>SUM(D53:P53)</f>
        <v>0</v>
      </c>
      <c r="R53" s="973"/>
      <c r="S53" s="973"/>
    </row>
    <row r="54" spans="2:19" ht="15">
      <c r="B54" s="967" t="s">
        <v>386</v>
      </c>
      <c r="C54" s="971" t="s">
        <v>387</v>
      </c>
      <c r="D54" s="972"/>
      <c r="E54" s="972"/>
      <c r="F54" s="972"/>
      <c r="G54" s="972"/>
      <c r="H54" s="972"/>
      <c r="I54" s="972"/>
      <c r="J54" s="972"/>
      <c r="K54" s="971" t="s">
        <v>387</v>
      </c>
      <c r="L54" s="972"/>
      <c r="M54" s="972"/>
      <c r="N54" s="972"/>
      <c r="O54" s="972"/>
      <c r="P54" s="972"/>
      <c r="Q54" s="973">
        <f t="shared" ref="Q54:Q57" si="1">SUM(D54:P54)</f>
        <v>0</v>
      </c>
      <c r="R54" s="973"/>
      <c r="S54" s="973"/>
    </row>
    <row r="55" spans="2:19" ht="15">
      <c r="B55" s="967" t="s">
        <v>388</v>
      </c>
      <c r="C55" s="971" t="s">
        <v>389</v>
      </c>
      <c r="D55" s="972"/>
      <c r="E55" s="972"/>
      <c r="F55" s="972"/>
      <c r="G55" s="972"/>
      <c r="H55" s="972"/>
      <c r="I55" s="972"/>
      <c r="J55" s="972"/>
      <c r="K55" s="971" t="s">
        <v>389</v>
      </c>
      <c r="L55" s="972"/>
      <c r="M55" s="972"/>
      <c r="N55" s="972"/>
      <c r="O55" s="972"/>
      <c r="P55" s="972"/>
      <c r="Q55" s="973">
        <f t="shared" si="1"/>
        <v>0</v>
      </c>
      <c r="R55" s="973"/>
      <c r="S55" s="973"/>
    </row>
    <row r="56" spans="2:19" ht="15">
      <c r="B56" s="967" t="s">
        <v>390</v>
      </c>
      <c r="C56" s="971" t="s">
        <v>391</v>
      </c>
      <c r="D56" s="972"/>
      <c r="E56" s="972"/>
      <c r="F56" s="972"/>
      <c r="G56" s="972"/>
      <c r="H56" s="972"/>
      <c r="I56" s="972"/>
      <c r="J56" s="972"/>
      <c r="K56" s="971" t="s">
        <v>391</v>
      </c>
      <c r="L56" s="972"/>
      <c r="M56" s="972"/>
      <c r="N56" s="972"/>
      <c r="O56" s="972"/>
      <c r="P56" s="972"/>
      <c r="Q56" s="973">
        <f t="shared" si="1"/>
        <v>0</v>
      </c>
      <c r="R56" s="973"/>
      <c r="S56" s="973"/>
    </row>
    <row r="57" spans="2:19" ht="15">
      <c r="B57" s="967"/>
      <c r="C57" s="971" t="s">
        <v>392</v>
      </c>
      <c r="D57" s="973"/>
      <c r="E57" s="973"/>
      <c r="F57" s="973"/>
      <c r="G57" s="973"/>
      <c r="H57" s="973"/>
      <c r="I57" s="973"/>
      <c r="J57" s="973"/>
      <c r="K57" s="971" t="s">
        <v>392</v>
      </c>
      <c r="L57" s="973"/>
      <c r="M57" s="973"/>
      <c r="N57" s="973"/>
      <c r="O57" s="973"/>
      <c r="P57" s="973"/>
      <c r="Q57" s="973">
        <f t="shared" si="1"/>
        <v>0</v>
      </c>
      <c r="R57" s="973"/>
      <c r="S57" s="973"/>
    </row>
    <row r="58" spans="2:19" ht="15">
      <c r="B58" s="967" t="s">
        <v>395</v>
      </c>
      <c r="C58" s="971" t="s">
        <v>396</v>
      </c>
      <c r="D58" s="972">
        <v>10000000000</v>
      </c>
      <c r="E58" s="972">
        <v>3033679997.1500001</v>
      </c>
      <c r="F58" s="972">
        <v>2712172000</v>
      </c>
      <c r="G58" s="972">
        <v>24562514003.299999</v>
      </c>
      <c r="H58" s="972">
        <v>14283428996.24</v>
      </c>
      <c r="I58" s="972">
        <v>27765165065</v>
      </c>
      <c r="J58" s="972">
        <v>25000000000</v>
      </c>
      <c r="K58" s="971" t="s">
        <v>396</v>
      </c>
      <c r="L58" s="972">
        <v>9000000000</v>
      </c>
      <c r="M58" s="972">
        <v>16907205518.43</v>
      </c>
      <c r="N58" s="972">
        <v>24280541221.950001</v>
      </c>
      <c r="O58" s="972">
        <v>10696737929.77</v>
      </c>
      <c r="P58" s="972"/>
      <c r="Q58" s="973">
        <f>SUM(D58,E58,F58,G58,H58,I58,J58,L58,M58,N58,O58)</f>
        <v>168241444731.84</v>
      </c>
      <c r="R58" s="973"/>
      <c r="S58" s="973"/>
    </row>
    <row r="59" spans="2:19" ht="15">
      <c r="B59" s="967" t="s">
        <v>397</v>
      </c>
      <c r="C59" s="971" t="s">
        <v>398</v>
      </c>
      <c r="D59" s="972"/>
      <c r="E59" s="972"/>
      <c r="F59" s="972"/>
      <c r="G59" s="972"/>
      <c r="H59" s="972"/>
      <c r="I59" s="972"/>
      <c r="J59" s="972"/>
      <c r="K59" s="971" t="s">
        <v>398</v>
      </c>
      <c r="L59" s="972"/>
      <c r="M59" s="972"/>
      <c r="N59" s="972"/>
      <c r="O59" s="972"/>
      <c r="P59" s="972"/>
      <c r="Q59" s="973">
        <f t="shared" ref="Q59:Q68" si="2">SUM(D59,E59,F59,G59,H59,I59,J59,L59,M59,N59,O59)</f>
        <v>0</v>
      </c>
      <c r="R59" s="973"/>
      <c r="S59" s="973"/>
    </row>
    <row r="60" spans="2:19" ht="15">
      <c r="B60" s="967" t="s">
        <v>399</v>
      </c>
      <c r="C60" s="971" t="s">
        <v>400</v>
      </c>
      <c r="D60" s="972"/>
      <c r="E60" s="972"/>
      <c r="F60" s="972"/>
      <c r="G60" s="972"/>
      <c r="H60" s="972"/>
      <c r="I60" s="972"/>
      <c r="J60" s="972"/>
      <c r="K60" s="971" t="s">
        <v>400</v>
      </c>
      <c r="L60" s="972">
        <v>9250723166.4799995</v>
      </c>
      <c r="M60" s="972">
        <v>8381652630.8999996</v>
      </c>
      <c r="N60" s="972">
        <v>85927372039.029999</v>
      </c>
      <c r="O60" s="972">
        <v>40388279866.75</v>
      </c>
      <c r="P60" s="972">
        <v>63715600881.360001</v>
      </c>
      <c r="Q60" s="973">
        <f t="shared" si="2"/>
        <v>143948027703.16</v>
      </c>
      <c r="R60" s="973"/>
      <c r="S60" s="973"/>
    </row>
    <row r="61" spans="2:19" ht="15">
      <c r="B61" s="967" t="s">
        <v>425</v>
      </c>
      <c r="C61" s="971" t="s">
        <v>401</v>
      </c>
      <c r="D61" s="972">
        <v>6410750445.8000002</v>
      </c>
      <c r="E61" s="972">
        <v>10420897131.950001</v>
      </c>
      <c r="F61" s="972">
        <v>57959237959.129997</v>
      </c>
      <c r="G61" s="972">
        <v>9516048734.4200001</v>
      </c>
      <c r="H61" s="972">
        <v>7666454695.7600002</v>
      </c>
      <c r="I61" s="972">
        <v>8943176760.0900002</v>
      </c>
      <c r="J61" s="972">
        <v>8056114227.6700001</v>
      </c>
      <c r="K61" s="971" t="s">
        <v>401</v>
      </c>
      <c r="L61" s="972">
        <v>4115395390.9000001</v>
      </c>
      <c r="M61" s="972">
        <v>5333206794.6400003</v>
      </c>
      <c r="N61" s="972">
        <v>1715279421.76</v>
      </c>
      <c r="O61" s="972">
        <v>30570818992.720001</v>
      </c>
      <c r="P61" s="972">
        <v>5209295270.5500002</v>
      </c>
      <c r="Q61" s="973">
        <f t="shared" si="2"/>
        <v>150707380554.83997</v>
      </c>
      <c r="R61" s="973"/>
      <c r="S61" s="973"/>
    </row>
    <row r="62" spans="2:19" ht="15">
      <c r="B62" s="967" t="s">
        <v>426</v>
      </c>
      <c r="C62" s="971" t="s">
        <v>402</v>
      </c>
      <c r="D62" s="972">
        <v>32268532922.43</v>
      </c>
      <c r="E62" s="972">
        <v>46839010401.18</v>
      </c>
      <c r="F62" s="972">
        <v>17707314591.259998</v>
      </c>
      <c r="G62" s="972">
        <v>2212617153.3800001</v>
      </c>
      <c r="H62" s="972">
        <v>69591360908.660004</v>
      </c>
      <c r="I62" s="972">
        <f>8253539493.34+16000000000</f>
        <v>24253539493.34</v>
      </c>
      <c r="J62" s="972">
        <v>16737850960.059999</v>
      </c>
      <c r="K62" s="971" t="s">
        <v>427</v>
      </c>
      <c r="L62" s="972">
        <v>54614502045.169998</v>
      </c>
      <c r="M62" s="972">
        <v>42103934339.830002</v>
      </c>
      <c r="N62" s="972">
        <v>65524202186.879997</v>
      </c>
      <c r="O62" s="972">
        <v>29681445184.060001</v>
      </c>
      <c r="P62" s="972">
        <v>66933967916.400002</v>
      </c>
      <c r="Q62" s="973">
        <f t="shared" si="2"/>
        <v>401534310186.25</v>
      </c>
      <c r="R62" s="973"/>
      <c r="S62" s="973"/>
    </row>
    <row r="63" spans="2:19" ht="15">
      <c r="B63" s="967" t="s">
        <v>268</v>
      </c>
      <c r="C63" s="971" t="s">
        <v>403</v>
      </c>
      <c r="D63" s="972">
        <v>738678842.01999998</v>
      </c>
      <c r="E63" s="972">
        <v>358034514.72000003</v>
      </c>
      <c r="F63" s="972">
        <v>4218024177.6799998</v>
      </c>
      <c r="G63" s="972">
        <v>712517952.48000002</v>
      </c>
      <c r="H63" s="972">
        <v>3244639956.3800001</v>
      </c>
      <c r="I63" s="972">
        <v>691484840.04999995</v>
      </c>
      <c r="J63" s="972">
        <v>279617420.49000001</v>
      </c>
      <c r="K63" s="971" t="s">
        <v>403</v>
      </c>
      <c r="L63" s="972">
        <v>385329227.94</v>
      </c>
      <c r="M63" s="972">
        <v>175800145.72999999</v>
      </c>
      <c r="N63" s="972">
        <v>206758320.15000001</v>
      </c>
      <c r="O63" s="972">
        <v>1597857404.8199999</v>
      </c>
      <c r="P63" s="972">
        <v>2670488840.77</v>
      </c>
      <c r="Q63" s="973">
        <f t="shared" si="2"/>
        <v>12608742802.459997</v>
      </c>
      <c r="R63" s="973"/>
      <c r="S63" s="973"/>
    </row>
    <row r="64" spans="2:19" ht="15">
      <c r="B64" s="967" t="s">
        <v>411</v>
      </c>
      <c r="C64" s="971" t="s">
        <v>404</v>
      </c>
      <c r="D64" s="972"/>
      <c r="E64" s="972"/>
      <c r="F64" s="972"/>
      <c r="G64" s="972">
        <v>4689180882.29</v>
      </c>
      <c r="H64" s="972"/>
      <c r="I64" s="972"/>
      <c r="J64" s="972"/>
      <c r="K64" s="971" t="s">
        <v>404</v>
      </c>
      <c r="L64" s="972"/>
      <c r="M64" s="972"/>
      <c r="N64" s="972"/>
      <c r="O64" s="972"/>
      <c r="P64" s="972"/>
      <c r="Q64" s="973">
        <f t="shared" si="2"/>
        <v>4689180882.29</v>
      </c>
      <c r="R64" s="973"/>
      <c r="S64" s="973"/>
    </row>
    <row r="65" spans="2:20" ht="15">
      <c r="B65" s="967" t="s">
        <v>414</v>
      </c>
      <c r="C65" s="971" t="s">
        <v>405</v>
      </c>
      <c r="D65" s="973"/>
      <c r="E65" s="973"/>
      <c r="F65" s="973"/>
      <c r="G65" s="972"/>
      <c r="H65" s="972"/>
      <c r="I65" s="972"/>
      <c r="J65" s="973"/>
      <c r="K65" s="971" t="s">
        <v>428</v>
      </c>
      <c r="L65" s="973"/>
      <c r="M65" s="973"/>
      <c r="N65" s="973"/>
      <c r="O65" s="972">
        <v>304711082.05000001</v>
      </c>
      <c r="P65" s="973"/>
      <c r="Q65" s="973">
        <f t="shared" si="2"/>
        <v>304711082.05000001</v>
      </c>
      <c r="R65" s="973"/>
      <c r="S65" s="973"/>
    </row>
    <row r="66" spans="2:20" ht="15">
      <c r="B66" s="967" t="s">
        <v>414</v>
      </c>
      <c r="C66" s="971" t="s">
        <v>406</v>
      </c>
      <c r="D66" s="972"/>
      <c r="E66" s="972">
        <v>53708337067</v>
      </c>
      <c r="F66" s="973"/>
      <c r="G66" s="972"/>
      <c r="H66" s="972">
        <v>73649950551.619995</v>
      </c>
      <c r="I66" s="972"/>
      <c r="J66" s="973"/>
      <c r="K66" s="971" t="s">
        <v>406</v>
      </c>
      <c r="L66" s="973"/>
      <c r="M66" s="973"/>
      <c r="N66" s="973"/>
      <c r="O66" s="973"/>
      <c r="P66" s="973"/>
      <c r="Q66" s="973">
        <f t="shared" si="2"/>
        <v>127358287618.62</v>
      </c>
      <c r="R66" s="973"/>
      <c r="S66" s="973"/>
    </row>
    <row r="67" spans="2:20" ht="15">
      <c r="B67" s="967" t="s">
        <v>429</v>
      </c>
      <c r="C67" s="971" t="s">
        <v>407</v>
      </c>
      <c r="D67" s="972"/>
      <c r="E67" s="972">
        <v>1201126750</v>
      </c>
      <c r="F67" s="973"/>
      <c r="G67" s="973"/>
      <c r="H67" s="973"/>
      <c r="I67" s="973"/>
      <c r="J67" s="972"/>
      <c r="K67" s="971" t="s">
        <v>407</v>
      </c>
      <c r="L67" s="973"/>
      <c r="M67" s="972">
        <v>40538631750.68</v>
      </c>
      <c r="N67" s="972"/>
      <c r="O67" s="972"/>
      <c r="P67" s="972"/>
      <c r="Q67" s="973">
        <f t="shared" si="2"/>
        <v>41739758500.68</v>
      </c>
      <c r="R67" s="973"/>
      <c r="S67" s="973"/>
    </row>
    <row r="68" spans="2:20" ht="14.1">
      <c r="B68" s="1218" t="s">
        <v>408</v>
      </c>
      <c r="C68" s="1219"/>
      <c r="D68" s="974">
        <f t="shared" ref="D68:E68" si="3">SUM(D58:D67)</f>
        <v>49417962210.249992</v>
      </c>
      <c r="E68" s="974">
        <f t="shared" si="3"/>
        <v>115561085862</v>
      </c>
      <c r="F68" s="974">
        <f>SUM(F58:F67)</f>
        <v>82596748728.069992</v>
      </c>
      <c r="G68" s="974">
        <f>SUM(G58:G67)</f>
        <v>41692878725.870003</v>
      </c>
      <c r="H68" s="974">
        <f>SUM(H58:H67)</f>
        <v>168435835108.66</v>
      </c>
      <c r="I68" s="974">
        <f>SUM(I58:I67)</f>
        <v>61653366158.479996</v>
      </c>
      <c r="J68" s="974">
        <f>SUM(J58:J67)</f>
        <v>50073582608.219994</v>
      </c>
      <c r="K68" s="974" t="s">
        <v>430</v>
      </c>
      <c r="L68" s="974">
        <f>SUM(L58:L67)</f>
        <v>77365949830.490005</v>
      </c>
      <c r="M68" s="974">
        <f>SUM(M58:M67)</f>
        <v>113440431180.20999</v>
      </c>
      <c r="N68" s="974">
        <f t="shared" ref="N68:P68" si="4">SUM(N58:N67)</f>
        <v>177654153189.76999</v>
      </c>
      <c r="O68" s="974">
        <f t="shared" si="4"/>
        <v>113239850460.17001</v>
      </c>
      <c r="P68" s="974">
        <f t="shared" si="4"/>
        <v>138529352909.07999</v>
      </c>
      <c r="Q68" s="973">
        <f t="shared" si="2"/>
        <v>1051131844062.1899</v>
      </c>
      <c r="R68" s="973"/>
      <c r="S68" s="973"/>
    </row>
    <row r="69" spans="2:20" ht="14.1">
      <c r="B69" s="965" t="s">
        <v>431</v>
      </c>
      <c r="C69" s="975" t="s">
        <v>410</v>
      </c>
      <c r="D69" s="974"/>
      <c r="E69" s="974"/>
      <c r="F69" s="974"/>
      <c r="G69" s="974"/>
      <c r="H69" s="974"/>
      <c r="I69" s="974"/>
      <c r="J69" s="974"/>
      <c r="K69" s="975" t="s">
        <v>410</v>
      </c>
      <c r="L69" s="974"/>
      <c r="M69" s="974"/>
      <c r="N69" s="974"/>
      <c r="O69" s="974"/>
      <c r="P69" s="974"/>
      <c r="Q69" s="973"/>
      <c r="R69" s="973"/>
      <c r="S69" s="973"/>
    </row>
    <row r="70" spans="2:20" ht="14.1">
      <c r="B70" s="965" t="s">
        <v>432</v>
      </c>
      <c r="C70" s="975" t="s">
        <v>353</v>
      </c>
      <c r="D70" s="976">
        <v>0</v>
      </c>
      <c r="E70" s="976"/>
      <c r="F70" s="976"/>
      <c r="G70" s="976"/>
      <c r="H70" s="976"/>
      <c r="I70" s="976"/>
      <c r="J70" s="976"/>
      <c r="K70" s="975" t="s">
        <v>353</v>
      </c>
      <c r="L70" s="976"/>
      <c r="M70" s="976"/>
      <c r="N70" s="976"/>
      <c r="O70" s="976"/>
      <c r="P70" s="976"/>
      <c r="Q70" s="973"/>
      <c r="R70" s="973"/>
      <c r="S70" s="973"/>
    </row>
    <row r="71" spans="2:20" ht="14.1">
      <c r="B71" s="965" t="s">
        <v>433</v>
      </c>
      <c r="C71" s="975" t="s">
        <v>415</v>
      </c>
      <c r="D71" s="976">
        <v>0</v>
      </c>
      <c r="E71" s="976"/>
      <c r="F71" s="976"/>
      <c r="G71" s="976"/>
      <c r="H71" s="976"/>
      <c r="I71" s="976"/>
      <c r="J71" s="976"/>
      <c r="K71" s="975" t="s">
        <v>415</v>
      </c>
      <c r="L71" s="976"/>
      <c r="M71" s="976"/>
      <c r="N71" s="976"/>
      <c r="O71" s="976"/>
      <c r="P71" s="976"/>
      <c r="Q71" s="973"/>
      <c r="R71" s="973"/>
      <c r="S71" s="973"/>
    </row>
    <row r="72" spans="2:20" ht="14.1">
      <c r="B72" s="965"/>
      <c r="C72" s="975" t="s">
        <v>417</v>
      </c>
      <c r="D72" s="974">
        <f t="shared" ref="D72" si="5">SUM(D70:D71)</f>
        <v>0</v>
      </c>
      <c r="E72" s="974"/>
      <c r="F72" s="974"/>
      <c r="G72" s="974"/>
      <c r="H72" s="974"/>
      <c r="I72" s="974"/>
      <c r="J72" s="974"/>
      <c r="K72" s="975" t="s">
        <v>417</v>
      </c>
      <c r="L72" s="974"/>
      <c r="M72" s="974"/>
      <c r="N72" s="974"/>
      <c r="O72" s="974"/>
      <c r="P72" s="974"/>
      <c r="Q72" s="974"/>
      <c r="R72" s="974"/>
      <c r="S72" s="974"/>
    </row>
    <row r="73" spans="2:20" ht="14.1">
      <c r="B73" s="977"/>
      <c r="C73" s="964" t="s">
        <v>418</v>
      </c>
      <c r="D73" s="974">
        <f t="shared" ref="D73:J73" si="6">SUM(D57+D68)</f>
        <v>49417962210.249992</v>
      </c>
      <c r="E73" s="974">
        <f t="shared" si="6"/>
        <v>115561085862</v>
      </c>
      <c r="F73" s="974">
        <f t="shared" si="6"/>
        <v>82596748728.069992</v>
      </c>
      <c r="G73" s="974">
        <f t="shared" si="6"/>
        <v>41692878725.870003</v>
      </c>
      <c r="H73" s="974">
        <f t="shared" si="6"/>
        <v>168435835108.66</v>
      </c>
      <c r="I73" s="974">
        <f t="shared" si="6"/>
        <v>61653366158.479996</v>
      </c>
      <c r="J73" s="974">
        <f t="shared" si="6"/>
        <v>50073582608.219994</v>
      </c>
      <c r="K73" s="964" t="s">
        <v>418</v>
      </c>
      <c r="L73" s="974">
        <f>L72+L68+L57</f>
        <v>77365949830.490005</v>
      </c>
      <c r="M73" s="974">
        <f>M72+M68+M57</f>
        <v>113440431180.20999</v>
      </c>
      <c r="N73" s="974">
        <f t="shared" ref="N73:P73" si="7">N72+N68+N57</f>
        <v>177654153189.76999</v>
      </c>
      <c r="O73" s="974">
        <f t="shared" si="7"/>
        <v>113239850460.17001</v>
      </c>
      <c r="P73" s="974">
        <f t="shared" si="7"/>
        <v>138529352909.07999</v>
      </c>
      <c r="Q73" s="974">
        <f>SUM(D73:P73)</f>
        <v>1189661196971.27</v>
      </c>
      <c r="R73" s="974">
        <v>1061898590939</v>
      </c>
      <c r="S73" s="974">
        <f>Q73-R73</f>
        <v>127762606032.27002</v>
      </c>
    </row>
    <row r="74" spans="2:20" ht="14.1">
      <c r="B74" s="978" t="s">
        <v>434</v>
      </c>
      <c r="C74" s="979" t="s">
        <v>435</v>
      </c>
      <c r="D74" s="980">
        <v>5618458862.96</v>
      </c>
      <c r="E74" s="980">
        <v>8165466346.0299997</v>
      </c>
      <c r="F74" s="980">
        <v>8616840109.3899994</v>
      </c>
      <c r="G74" s="980">
        <v>3754814405.0000043</v>
      </c>
      <c r="H74" s="981">
        <v>2466152208.519999</v>
      </c>
      <c r="I74" s="980">
        <v>9468537284.5300007</v>
      </c>
      <c r="J74" s="980">
        <v>2928815134.9899998</v>
      </c>
      <c r="K74" s="979" t="s">
        <v>436</v>
      </c>
      <c r="L74" s="980">
        <v>2862919905.5100002</v>
      </c>
      <c r="M74" s="980">
        <v>2628402934.8600001</v>
      </c>
      <c r="N74" s="974">
        <v>2582032297.21</v>
      </c>
      <c r="O74" s="974">
        <v>2689048919.6799998</v>
      </c>
      <c r="P74" s="980">
        <v>9149755130.7200012</v>
      </c>
      <c r="Q74" s="974">
        <f t="shared" ref="Q74:Q75" si="8">SUM(D74:P74)</f>
        <v>60931243539.400002</v>
      </c>
      <c r="R74" s="982"/>
      <c r="S74" s="974"/>
    </row>
    <row r="75" spans="2:20" ht="14.1">
      <c r="B75" s="977"/>
      <c r="C75" s="978" t="s">
        <v>437</v>
      </c>
      <c r="D75" s="983">
        <f>SUM(D73:D74)</f>
        <v>55036421073.209991</v>
      </c>
      <c r="E75" s="983">
        <f t="shared" ref="E75:I75" si="9">E73+E74</f>
        <v>123726552208.03</v>
      </c>
      <c r="F75" s="983">
        <f t="shared" si="9"/>
        <v>91213588837.459991</v>
      </c>
      <c r="G75" s="983">
        <f t="shared" si="9"/>
        <v>45447693130.87001</v>
      </c>
      <c r="H75" s="983">
        <f t="shared" si="9"/>
        <v>170901987317.17999</v>
      </c>
      <c r="I75" s="983">
        <f t="shared" si="9"/>
        <v>71121903443.009995</v>
      </c>
      <c r="J75" s="983">
        <f>J73+J74</f>
        <v>53002397743.209991</v>
      </c>
      <c r="K75" s="978" t="s">
        <v>437</v>
      </c>
      <c r="L75" s="983">
        <f>SUM(L73:L74)</f>
        <v>80228869736</v>
      </c>
      <c r="M75" s="983">
        <f>SUM(M73:M74)</f>
        <v>116068834115.06999</v>
      </c>
      <c r="N75" s="983">
        <f t="shared" ref="N75:P75" si="10">SUM(N73:N74)</f>
        <v>180236185486.97998</v>
      </c>
      <c r="O75" s="983">
        <f t="shared" si="10"/>
        <v>115928899379.85001</v>
      </c>
      <c r="P75" s="983">
        <f t="shared" si="10"/>
        <v>147679108039.79999</v>
      </c>
      <c r="Q75" s="974">
        <f t="shared" si="8"/>
        <v>1250592440510.6699</v>
      </c>
      <c r="R75" s="974">
        <v>1061898590939</v>
      </c>
      <c r="S75" s="974">
        <f>Q75-R75</f>
        <v>188693849571.66992</v>
      </c>
    </row>
    <row r="78" spans="2:20" ht="14.1">
      <c r="B78" s="1010" t="s">
        <v>438</v>
      </c>
      <c r="C78" s="1011"/>
      <c r="D78" s="1011"/>
      <c r="E78" s="1011"/>
      <c r="F78" s="1011"/>
      <c r="G78" s="1011"/>
      <c r="H78" s="1011"/>
      <c r="I78" s="1011"/>
      <c r="J78" s="1011"/>
      <c r="K78" s="1011"/>
      <c r="L78" s="1011"/>
      <c r="M78" s="1011"/>
      <c r="N78" s="1011"/>
      <c r="O78" s="1011"/>
      <c r="P78" s="1011"/>
      <c r="Q78" s="1011"/>
      <c r="R78" s="1011"/>
      <c r="S78" s="1011"/>
      <c r="T78" s="1011"/>
    </row>
    <row r="79" spans="2:20" ht="14.1">
      <c r="B79" s="1012"/>
      <c r="C79" s="1011"/>
      <c r="D79" s="1011"/>
      <c r="E79" s="1011"/>
      <c r="F79" s="1011"/>
      <c r="G79" s="1011"/>
      <c r="H79" s="1011"/>
      <c r="I79" s="1011"/>
      <c r="J79" s="1011"/>
      <c r="K79" s="1012"/>
      <c r="L79" s="1011"/>
      <c r="M79" s="1013"/>
      <c r="N79" s="1011"/>
      <c r="O79" s="1011"/>
      <c r="P79" s="1011"/>
      <c r="Q79" s="1011"/>
      <c r="R79" s="1011"/>
      <c r="S79" s="1011"/>
      <c r="T79" s="1011"/>
    </row>
    <row r="80" spans="2:20" ht="15">
      <c r="B80" s="1014" t="s">
        <v>424</v>
      </c>
      <c r="C80" s="1212" t="s">
        <v>367</v>
      </c>
      <c r="D80" s="1015" t="s">
        <v>312</v>
      </c>
      <c r="E80" s="1015" t="s">
        <v>313</v>
      </c>
      <c r="F80" s="1015" t="s">
        <v>314</v>
      </c>
      <c r="G80" s="1015" t="s">
        <v>315</v>
      </c>
      <c r="H80" s="1015" t="s">
        <v>316</v>
      </c>
      <c r="I80" s="1015" t="s">
        <v>317</v>
      </c>
      <c r="J80" s="1015" t="s">
        <v>318</v>
      </c>
      <c r="K80" s="1014" t="s">
        <v>424</v>
      </c>
      <c r="L80" s="1212" t="s">
        <v>367</v>
      </c>
      <c r="M80" s="1015" t="s">
        <v>319</v>
      </c>
      <c r="N80" s="1016" t="s">
        <v>320</v>
      </c>
      <c r="O80" s="1016" t="s">
        <v>321</v>
      </c>
      <c r="P80" s="1016" t="s">
        <v>322</v>
      </c>
      <c r="Q80" s="1016" t="s">
        <v>323</v>
      </c>
      <c r="R80" s="1017" t="s">
        <v>380</v>
      </c>
      <c r="S80" s="1018" t="s">
        <v>379</v>
      </c>
      <c r="T80" s="1018" t="s">
        <v>381</v>
      </c>
    </row>
    <row r="81" spans="2:20" ht="14.1">
      <c r="B81" s="1019"/>
      <c r="C81" s="1212"/>
      <c r="D81" s="1020" t="s">
        <v>382</v>
      </c>
      <c r="E81" s="1020" t="s">
        <v>382</v>
      </c>
      <c r="F81" s="1020" t="s">
        <v>382</v>
      </c>
      <c r="G81" s="1020" t="s">
        <v>382</v>
      </c>
      <c r="H81" s="1020" t="s">
        <v>382</v>
      </c>
      <c r="I81" s="1020" t="s">
        <v>382</v>
      </c>
      <c r="J81" s="1020" t="s">
        <v>382</v>
      </c>
      <c r="K81" s="1019"/>
      <c r="L81" s="1212"/>
      <c r="M81" s="1020" t="s">
        <v>382</v>
      </c>
      <c r="N81" s="1020" t="s">
        <v>382</v>
      </c>
      <c r="O81" s="1020" t="s">
        <v>382</v>
      </c>
      <c r="P81" s="1020" t="s">
        <v>382</v>
      </c>
      <c r="Q81" s="1020" t="s">
        <v>382</v>
      </c>
      <c r="R81" s="1020" t="s">
        <v>382</v>
      </c>
      <c r="S81" s="1020" t="s">
        <v>382</v>
      </c>
      <c r="T81" s="1020" t="s">
        <v>382</v>
      </c>
    </row>
    <row r="82" spans="2:20" ht="15">
      <c r="B82" s="1017" t="s">
        <v>383</v>
      </c>
      <c r="C82" s="1021" t="s">
        <v>384</v>
      </c>
      <c r="D82" s="1022"/>
      <c r="E82" s="1022"/>
      <c r="F82" s="1022"/>
      <c r="G82" s="1022"/>
      <c r="H82" s="1022"/>
      <c r="I82" s="1022"/>
      <c r="J82" s="1022"/>
      <c r="K82" s="1017" t="s">
        <v>383</v>
      </c>
      <c r="L82" s="1021" t="s">
        <v>384</v>
      </c>
      <c r="M82" s="1022"/>
      <c r="N82" s="1022"/>
      <c r="O82" s="1022"/>
      <c r="P82" s="1022"/>
      <c r="Q82" s="1022"/>
      <c r="R82" s="1023">
        <f>SUM(D82:Q82)</f>
        <v>0</v>
      </c>
      <c r="S82" s="1023"/>
      <c r="T82" s="1023"/>
    </row>
    <row r="83" spans="2:20" ht="15">
      <c r="B83" s="1017" t="s">
        <v>386</v>
      </c>
      <c r="C83" s="1021" t="s">
        <v>387</v>
      </c>
      <c r="D83" s="1022"/>
      <c r="E83" s="1022"/>
      <c r="F83" s="1022"/>
      <c r="G83" s="1022"/>
      <c r="H83" s="1022"/>
      <c r="I83" s="1022"/>
      <c r="J83" s="1022"/>
      <c r="K83" s="1017" t="s">
        <v>386</v>
      </c>
      <c r="L83" s="1021" t="s">
        <v>387</v>
      </c>
      <c r="M83" s="1022"/>
      <c r="N83" s="1022"/>
      <c r="O83" s="1022"/>
      <c r="P83" s="1022"/>
      <c r="Q83" s="1022"/>
      <c r="R83" s="1023">
        <f t="shared" ref="R83:R86" si="11">SUM(D83:Q83)</f>
        <v>0</v>
      </c>
      <c r="S83" s="1023"/>
      <c r="T83" s="1023"/>
    </row>
    <row r="84" spans="2:20" ht="15">
      <c r="B84" s="1017" t="s">
        <v>388</v>
      </c>
      <c r="C84" s="1021" t="s">
        <v>389</v>
      </c>
      <c r="D84" s="1022"/>
      <c r="E84" s="1022"/>
      <c r="F84" s="1022"/>
      <c r="G84" s="1022"/>
      <c r="H84" s="1022"/>
      <c r="I84" s="1022"/>
      <c r="J84" s="1022"/>
      <c r="K84" s="1017" t="s">
        <v>388</v>
      </c>
      <c r="L84" s="1021" t="s">
        <v>389</v>
      </c>
      <c r="M84" s="1022"/>
      <c r="N84" s="1022"/>
      <c r="O84" s="1022"/>
      <c r="P84" s="1022"/>
      <c r="Q84" s="1022"/>
      <c r="R84" s="1023">
        <f t="shared" si="11"/>
        <v>0</v>
      </c>
      <c r="S84" s="1023"/>
      <c r="T84" s="1023"/>
    </row>
    <row r="85" spans="2:20" ht="15">
      <c r="B85" s="1017" t="s">
        <v>390</v>
      </c>
      <c r="C85" s="1021" t="s">
        <v>391</v>
      </c>
      <c r="D85" s="1022"/>
      <c r="E85" s="1022"/>
      <c r="F85" s="1022"/>
      <c r="G85" s="1022"/>
      <c r="H85" s="1022"/>
      <c r="I85" s="1022"/>
      <c r="J85" s="1022"/>
      <c r="K85" s="1017" t="s">
        <v>390</v>
      </c>
      <c r="L85" s="1021" t="s">
        <v>391</v>
      </c>
      <c r="M85" s="1022"/>
      <c r="N85" s="1022"/>
      <c r="O85" s="1022"/>
      <c r="P85" s="1022"/>
      <c r="Q85" s="1022"/>
      <c r="R85" s="1023">
        <f t="shared" si="11"/>
        <v>0</v>
      </c>
      <c r="S85" s="1023"/>
      <c r="T85" s="1023"/>
    </row>
    <row r="86" spans="2:20" ht="15">
      <c r="B86" s="1017"/>
      <c r="C86" s="1021" t="s">
        <v>392</v>
      </c>
      <c r="D86" s="1023"/>
      <c r="E86" s="1023"/>
      <c r="F86" s="1023"/>
      <c r="G86" s="1023"/>
      <c r="H86" s="1023"/>
      <c r="I86" s="1023"/>
      <c r="J86" s="1023"/>
      <c r="K86" s="1017"/>
      <c r="L86" s="1021" t="s">
        <v>392</v>
      </c>
      <c r="M86" s="1023"/>
      <c r="N86" s="1023"/>
      <c r="O86" s="1023"/>
      <c r="P86" s="1023"/>
      <c r="Q86" s="1023"/>
      <c r="R86" s="1023">
        <f t="shared" si="11"/>
        <v>0</v>
      </c>
      <c r="S86" s="1023"/>
      <c r="T86" s="1023"/>
    </row>
    <row r="87" spans="2:20" ht="15">
      <c r="B87" s="1017" t="s">
        <v>395</v>
      </c>
      <c r="C87" s="1021" t="s">
        <v>396</v>
      </c>
      <c r="D87" s="1022">
        <v>3017861831.2199998</v>
      </c>
      <c r="E87" s="1022">
        <v>7298632509.4799995</v>
      </c>
      <c r="F87" s="1022">
        <v>12450378498</v>
      </c>
      <c r="G87" s="1022">
        <v>32634794187.73</v>
      </c>
      <c r="H87" s="1022">
        <v>25751602196.209999</v>
      </c>
      <c r="I87" s="1022">
        <v>11321692539.35</v>
      </c>
      <c r="J87" s="1022">
        <v>42841811305</v>
      </c>
      <c r="K87" s="1017" t="s">
        <v>395</v>
      </c>
      <c r="L87" s="1021" t="s">
        <v>396</v>
      </c>
      <c r="M87" s="1022">
        <v>19139779000</v>
      </c>
      <c r="N87" s="1022">
        <v>43325880.729999997</v>
      </c>
      <c r="O87" s="1022">
        <v>4500000000</v>
      </c>
      <c r="P87" s="1022">
        <v>15000000000</v>
      </c>
      <c r="Q87" s="1022">
        <v>7226273072.2299995</v>
      </c>
      <c r="R87" s="1023">
        <f>SUM(D87,E87,F87,G87,H87,I87,J87,M87,N87,O87,P87+Q87)</f>
        <v>181226151019.95001</v>
      </c>
      <c r="S87" s="1023"/>
      <c r="T87" s="1023"/>
    </row>
    <row r="88" spans="2:20" ht="15">
      <c r="B88" s="1017" t="s">
        <v>397</v>
      </c>
      <c r="C88" s="1021" t="s">
        <v>398</v>
      </c>
      <c r="D88" s="1022"/>
      <c r="E88" s="1022"/>
      <c r="F88" s="1022"/>
      <c r="G88" s="1022"/>
      <c r="H88" s="1022"/>
      <c r="I88" s="1022"/>
      <c r="J88" s="1022"/>
      <c r="K88" s="1017" t="s">
        <v>397</v>
      </c>
      <c r="L88" s="1021" t="s">
        <v>398</v>
      </c>
      <c r="M88" s="1022"/>
      <c r="N88" s="1022"/>
      <c r="O88" s="1022"/>
      <c r="P88" s="1022"/>
      <c r="Q88" s="1022"/>
      <c r="R88" s="1023">
        <f t="shared" ref="R88:R97" si="12">SUM(D88,E88,F88,G88,H88,I88,J88,M88,N88,O88,P88+Q88)</f>
        <v>0</v>
      </c>
      <c r="S88" s="1023"/>
      <c r="T88" s="1023"/>
    </row>
    <row r="89" spans="2:20" ht="15">
      <c r="B89" s="1017" t="s">
        <v>399</v>
      </c>
      <c r="C89" s="1021" t="s">
        <v>400</v>
      </c>
      <c r="D89" s="1022"/>
      <c r="E89" s="1022"/>
      <c r="F89" s="1022">
        <v>9718727761.2800007</v>
      </c>
      <c r="G89" s="1022"/>
      <c r="H89" s="1022">
        <v>1559779495.3</v>
      </c>
      <c r="I89" s="1022">
        <v>1579695071.96</v>
      </c>
      <c r="J89" s="1022"/>
      <c r="K89" s="1017" t="s">
        <v>399</v>
      </c>
      <c r="L89" s="1021" t="s">
        <v>400</v>
      </c>
      <c r="M89" s="1022"/>
      <c r="N89" s="1022"/>
      <c r="O89" s="1022"/>
      <c r="P89" s="1022"/>
      <c r="Q89" s="1022"/>
      <c r="R89" s="1023">
        <f t="shared" si="12"/>
        <v>12858202328.540001</v>
      </c>
      <c r="S89" s="1023"/>
      <c r="T89" s="1023"/>
    </row>
    <row r="90" spans="2:20" ht="15">
      <c r="B90" s="1017" t="s">
        <v>425</v>
      </c>
      <c r="C90" s="1021" t="s">
        <v>401</v>
      </c>
      <c r="D90" s="1022">
        <v>23605021433.84</v>
      </c>
      <c r="E90" s="1022">
        <v>2446015704.9200001</v>
      </c>
      <c r="F90" s="1022">
        <v>3445225518.5100002</v>
      </c>
      <c r="G90" s="1022">
        <v>1581951392.8199999</v>
      </c>
      <c r="H90" s="1022">
        <v>4367804732.4700003</v>
      </c>
      <c r="I90" s="1022">
        <v>6036101163.29</v>
      </c>
      <c r="J90" s="1022">
        <v>3486941515.2199998</v>
      </c>
      <c r="K90" s="1017" t="s">
        <v>425</v>
      </c>
      <c r="L90" s="1021" t="s">
        <v>401</v>
      </c>
      <c r="M90" s="1022">
        <v>39475786395.669998</v>
      </c>
      <c r="N90" s="1022">
        <v>19411419527.830002</v>
      </c>
      <c r="O90" s="1022">
        <v>824187215.00999999</v>
      </c>
      <c r="P90" s="1022">
        <v>513684978.82999998</v>
      </c>
      <c r="Q90" s="1022">
        <v>298598943.88999999</v>
      </c>
      <c r="R90" s="1023">
        <f t="shared" si="12"/>
        <v>105492738522.3</v>
      </c>
      <c r="S90" s="1023"/>
      <c r="T90" s="1023"/>
    </row>
    <row r="91" spans="2:20" ht="15">
      <c r="B91" s="1017" t="s">
        <v>426</v>
      </c>
      <c r="C91" s="1021" t="s">
        <v>402</v>
      </c>
      <c r="D91" s="1022">
        <v>47332907031.279999</v>
      </c>
      <c r="E91" s="1022">
        <v>52697413611.480003</v>
      </c>
      <c r="F91" s="1022">
        <v>28293512672.610001</v>
      </c>
      <c r="G91" s="1022">
        <v>32238242849.02</v>
      </c>
      <c r="H91" s="1022">
        <v>49844103866.360001</v>
      </c>
      <c r="I91" s="1022">
        <v>29274872458.349998</v>
      </c>
      <c r="J91" s="1022">
        <v>101334684572.45</v>
      </c>
      <c r="K91" s="1017" t="s">
        <v>426</v>
      </c>
      <c r="L91" s="1021" t="s">
        <v>427</v>
      </c>
      <c r="M91" s="1022">
        <v>45363812091.709999</v>
      </c>
      <c r="N91" s="1022">
        <v>49461623462.419998</v>
      </c>
      <c r="O91" s="1022">
        <v>144499439363.89999</v>
      </c>
      <c r="P91" s="1022">
        <v>64238134571.919998</v>
      </c>
      <c r="Q91" s="1022">
        <v>64604217273.75</v>
      </c>
      <c r="R91" s="1023">
        <f t="shared" si="12"/>
        <v>709182963825.25</v>
      </c>
      <c r="S91" s="1023"/>
      <c r="T91" s="1023"/>
    </row>
    <row r="92" spans="2:20" ht="15">
      <c r="B92" s="1017" t="s">
        <v>268</v>
      </c>
      <c r="C92" s="1021" t="s">
        <v>403</v>
      </c>
      <c r="D92" s="1022">
        <v>5140917060.2200003</v>
      </c>
      <c r="E92" s="1022">
        <v>1001216491.35</v>
      </c>
      <c r="F92" s="1022"/>
      <c r="G92" s="1022">
        <v>1480814750.1099999</v>
      </c>
      <c r="H92" s="1022">
        <v>4448982606.2399998</v>
      </c>
      <c r="I92" s="1022">
        <v>683311127.20000005</v>
      </c>
      <c r="J92" s="1022">
        <v>780505762.02999997</v>
      </c>
      <c r="K92" s="1017" t="s">
        <v>268</v>
      </c>
      <c r="L92" s="1021" t="s">
        <v>403</v>
      </c>
      <c r="M92" s="1022">
        <v>2017924789.6500001</v>
      </c>
      <c r="N92" s="1022">
        <v>6158095407.5100002</v>
      </c>
      <c r="O92" s="1022">
        <v>714288337.64999998</v>
      </c>
      <c r="P92" s="1022">
        <v>835495736.22000003</v>
      </c>
      <c r="Q92" s="1022">
        <v>2004193429.9400001</v>
      </c>
      <c r="R92" s="1023">
        <f t="shared" si="12"/>
        <v>25265745498.120003</v>
      </c>
      <c r="S92" s="1023"/>
      <c r="T92" s="1023"/>
    </row>
    <row r="93" spans="2:20" ht="15">
      <c r="B93" s="1017" t="s">
        <v>411</v>
      </c>
      <c r="C93" s="1021" t="s">
        <v>404</v>
      </c>
      <c r="D93" s="1022"/>
      <c r="E93" s="1022"/>
      <c r="F93" s="1022"/>
      <c r="G93" s="1022"/>
      <c r="H93" s="1022"/>
      <c r="I93" s="1022"/>
      <c r="J93" s="1022"/>
      <c r="K93" s="1017" t="s">
        <v>411</v>
      </c>
      <c r="L93" s="1024" t="s">
        <v>439</v>
      </c>
      <c r="M93" s="1022"/>
      <c r="N93" s="1022">
        <v>135867982616.19</v>
      </c>
      <c r="O93" s="1022"/>
      <c r="P93" s="1022"/>
      <c r="Q93" s="1022"/>
      <c r="R93" s="1023">
        <f t="shared" si="12"/>
        <v>135867982616.19</v>
      </c>
      <c r="S93" s="1023"/>
      <c r="T93" s="1023"/>
    </row>
    <row r="94" spans="2:20" ht="15">
      <c r="B94" s="1017" t="s">
        <v>414</v>
      </c>
      <c r="C94" s="1021" t="s">
        <v>405</v>
      </c>
      <c r="D94" s="1023"/>
      <c r="E94" s="1023"/>
      <c r="F94" s="1023"/>
      <c r="G94" s="1022"/>
      <c r="H94" s="1022"/>
      <c r="I94" s="1022"/>
      <c r="J94" s="1023"/>
      <c r="K94" s="1017" t="s">
        <v>414</v>
      </c>
      <c r="L94" s="1021" t="s">
        <v>428</v>
      </c>
      <c r="M94" s="1023"/>
      <c r="N94" s="1022">
        <v>2250000000</v>
      </c>
      <c r="O94" s="1023"/>
      <c r="P94" s="1022"/>
      <c r="Q94" s="1023"/>
      <c r="R94" s="1023">
        <f t="shared" si="12"/>
        <v>2250000000</v>
      </c>
      <c r="S94" s="1023"/>
      <c r="T94" s="1023"/>
    </row>
    <row r="95" spans="2:20" ht="15">
      <c r="B95" s="1017" t="s">
        <v>414</v>
      </c>
      <c r="C95" s="1021" t="s">
        <v>406</v>
      </c>
      <c r="D95" s="1022"/>
      <c r="E95" s="1022"/>
      <c r="F95" s="1022">
        <v>17182907109.290001</v>
      </c>
      <c r="G95" s="1022">
        <v>109027515996</v>
      </c>
      <c r="H95" s="1022"/>
      <c r="I95" s="1022">
        <v>15000000000</v>
      </c>
      <c r="J95" s="1023"/>
      <c r="K95" s="1017" t="s">
        <v>414</v>
      </c>
      <c r="L95" s="1021" t="s">
        <v>406</v>
      </c>
      <c r="M95" s="1023"/>
      <c r="N95" s="1023"/>
      <c r="O95" s="1023"/>
      <c r="P95" s="1023"/>
      <c r="Q95" s="1023"/>
      <c r="R95" s="1023">
        <f t="shared" si="12"/>
        <v>141210423105.29001</v>
      </c>
      <c r="S95" s="1023"/>
      <c r="T95" s="1023"/>
    </row>
    <row r="96" spans="2:20" ht="15">
      <c r="B96" s="1017" t="s">
        <v>429</v>
      </c>
      <c r="C96" s="1021" t="s">
        <v>407</v>
      </c>
      <c r="D96" s="1022"/>
      <c r="E96" s="1022"/>
      <c r="F96" s="1023"/>
      <c r="G96" s="1023"/>
      <c r="H96" s="1023">
        <v>46849000000</v>
      </c>
      <c r="I96" s="1023"/>
      <c r="J96" s="1022">
        <v>2296700000</v>
      </c>
      <c r="K96" s="1017" t="s">
        <v>429</v>
      </c>
      <c r="L96" s="1021" t="s">
        <v>407</v>
      </c>
      <c r="M96" s="1023"/>
      <c r="N96" s="1022"/>
      <c r="O96" s="1022"/>
      <c r="P96" s="1022"/>
      <c r="Q96" s="1022"/>
      <c r="R96" s="1023">
        <f t="shared" si="12"/>
        <v>49145700000</v>
      </c>
      <c r="S96" s="1023"/>
      <c r="T96" s="1023"/>
    </row>
    <row r="97" spans="2:20" ht="14.1">
      <c r="B97" s="1212" t="s">
        <v>408</v>
      </c>
      <c r="C97" s="1213"/>
      <c r="D97" s="1025">
        <f t="shared" ref="D97:E97" si="13">SUM(D87:D96)</f>
        <v>79096707356.559998</v>
      </c>
      <c r="E97" s="1025">
        <f t="shared" si="13"/>
        <v>63443278317.230003</v>
      </c>
      <c r="F97" s="1025">
        <f>SUM(F82:F96)</f>
        <v>71090751559.690002</v>
      </c>
      <c r="G97" s="1025">
        <f t="shared" ref="G97:Q97" si="14">SUM(G82:G96)</f>
        <v>176963319175.67999</v>
      </c>
      <c r="H97" s="1025">
        <f t="shared" si="14"/>
        <v>132821272896.58</v>
      </c>
      <c r="I97" s="1025">
        <f t="shared" si="14"/>
        <v>63895672360.149994</v>
      </c>
      <c r="J97" s="1025">
        <f t="shared" si="14"/>
        <v>150740643154.69998</v>
      </c>
      <c r="K97" s="1025"/>
      <c r="L97" s="1025">
        <f t="shared" si="14"/>
        <v>0</v>
      </c>
      <c r="M97" s="1025">
        <f t="shared" si="14"/>
        <v>105997302277.03</v>
      </c>
      <c r="N97" s="1025">
        <f t="shared" si="14"/>
        <v>213192446894.67999</v>
      </c>
      <c r="O97" s="1025">
        <f t="shared" si="14"/>
        <v>150537914916.56</v>
      </c>
      <c r="P97" s="1025">
        <f t="shared" si="14"/>
        <v>80587315286.970001</v>
      </c>
      <c r="Q97" s="1025">
        <f t="shared" si="14"/>
        <v>74133282719.809998</v>
      </c>
      <c r="R97" s="1023">
        <f t="shared" si="12"/>
        <v>1362499906915.6401</v>
      </c>
      <c r="S97" s="1023"/>
      <c r="T97" s="1023"/>
    </row>
    <row r="98" spans="2:20" ht="14.1">
      <c r="B98" s="1015" t="s">
        <v>431</v>
      </c>
      <c r="C98" s="1024" t="s">
        <v>410</v>
      </c>
      <c r="D98" s="1025"/>
      <c r="E98" s="1025"/>
      <c r="F98" s="1025"/>
      <c r="G98" s="1025"/>
      <c r="H98" s="1025"/>
      <c r="I98" s="1025"/>
      <c r="J98" s="1025"/>
      <c r="K98" s="1015" t="s">
        <v>431</v>
      </c>
      <c r="L98" s="1024" t="s">
        <v>410</v>
      </c>
      <c r="M98" s="1025"/>
      <c r="N98" s="1025"/>
      <c r="O98" s="1025"/>
      <c r="P98" s="1025"/>
      <c r="Q98" s="1025"/>
      <c r="R98" s="1023"/>
      <c r="S98" s="1023"/>
      <c r="T98" s="1023"/>
    </row>
    <row r="99" spans="2:20" ht="14.1">
      <c r="B99" s="1015" t="s">
        <v>432</v>
      </c>
      <c r="C99" s="1024" t="s">
        <v>353</v>
      </c>
      <c r="D99" s="1026">
        <v>0</v>
      </c>
      <c r="E99" s="1026"/>
      <c r="F99" s="1026"/>
      <c r="G99" s="1026"/>
      <c r="H99" s="1026"/>
      <c r="I99" s="1026"/>
      <c r="J99" s="1026"/>
      <c r="K99" s="1015" t="s">
        <v>432</v>
      </c>
      <c r="L99" s="1024" t="s">
        <v>353</v>
      </c>
      <c r="M99" s="1026"/>
      <c r="N99" s="1026"/>
      <c r="O99" s="1026" t="s">
        <v>258</v>
      </c>
      <c r="P99" s="1026"/>
      <c r="Q99" s="1026"/>
      <c r="R99" s="1023"/>
      <c r="S99" s="1023"/>
      <c r="T99" s="1023"/>
    </row>
    <row r="100" spans="2:20" ht="14.1">
      <c r="B100" s="1015" t="s">
        <v>433</v>
      </c>
      <c r="C100" s="1024" t="s">
        <v>415</v>
      </c>
      <c r="D100" s="1026">
        <v>0</v>
      </c>
      <c r="E100" s="1026"/>
      <c r="F100" s="1026"/>
      <c r="G100" s="1026"/>
      <c r="H100" s="1026" t="s">
        <v>258</v>
      </c>
      <c r="I100" s="1026"/>
      <c r="J100" s="1026"/>
      <c r="K100" s="1015" t="s">
        <v>433</v>
      </c>
      <c r="L100" s="1024" t="s">
        <v>415</v>
      </c>
      <c r="M100" s="1026"/>
      <c r="N100" s="1026"/>
      <c r="O100" s="1026"/>
      <c r="P100" s="1026"/>
      <c r="Q100" s="1026"/>
      <c r="R100" s="1023"/>
      <c r="S100" s="1023"/>
      <c r="T100" s="1023"/>
    </row>
    <row r="101" spans="2:20" ht="14.1">
      <c r="B101" s="1015"/>
      <c r="C101" s="1024" t="s">
        <v>417</v>
      </c>
      <c r="D101" s="1025">
        <f t="shared" ref="D101" si="15">SUM(D99:D100)</f>
        <v>0</v>
      </c>
      <c r="E101" s="1025"/>
      <c r="F101" s="1025"/>
      <c r="G101" s="1025"/>
      <c r="H101" s="1025"/>
      <c r="I101" s="1025"/>
      <c r="J101" s="1025"/>
      <c r="K101" s="1015"/>
      <c r="L101" s="1024" t="s">
        <v>417</v>
      </c>
      <c r="M101" s="1025"/>
      <c r="N101" s="1025"/>
      <c r="O101" s="1025"/>
      <c r="P101" s="1025"/>
      <c r="Q101" s="1025"/>
      <c r="R101" s="1025"/>
      <c r="S101" s="1025"/>
      <c r="T101" s="1025"/>
    </row>
    <row r="102" spans="2:20" ht="14.1">
      <c r="B102" s="1027"/>
      <c r="C102" s="1014" t="s">
        <v>418</v>
      </c>
      <c r="D102" s="1025">
        <f t="shared" ref="D102:J102" si="16">SUM(D86+D97)</f>
        <v>79096707356.559998</v>
      </c>
      <c r="E102" s="1025">
        <f t="shared" si="16"/>
        <v>63443278317.230003</v>
      </c>
      <c r="F102" s="1025">
        <f t="shared" si="16"/>
        <v>71090751559.690002</v>
      </c>
      <c r="G102" s="1025">
        <f>SUM(G86+G97)</f>
        <v>176963319175.67999</v>
      </c>
      <c r="H102" s="1025">
        <f t="shared" si="16"/>
        <v>132821272896.58</v>
      </c>
      <c r="I102" s="1025">
        <f t="shared" si="16"/>
        <v>63895672360.149994</v>
      </c>
      <c r="J102" s="1025">
        <f t="shared" si="16"/>
        <v>150740643154.69998</v>
      </c>
      <c r="K102" s="1027"/>
      <c r="L102" s="1014" t="s">
        <v>418</v>
      </c>
      <c r="M102" s="1025">
        <f>M101+M97+M86</f>
        <v>105997302277.03</v>
      </c>
      <c r="N102" s="1025">
        <f t="shared" ref="N102:P102" si="17">N101+N97+N86</f>
        <v>213192446894.67999</v>
      </c>
      <c r="O102" s="1025">
        <f t="shared" si="17"/>
        <v>150537914916.56</v>
      </c>
      <c r="P102" s="1025">
        <f t="shared" si="17"/>
        <v>80587315286.970001</v>
      </c>
      <c r="Q102" s="1025">
        <f>Q101+Q97+Q86</f>
        <v>74133282719.809998</v>
      </c>
      <c r="R102" s="1025">
        <f>SUM(D102:Q102)</f>
        <v>1362499906915.6401</v>
      </c>
      <c r="S102" s="1025">
        <v>2216217091075</v>
      </c>
      <c r="T102" s="1025">
        <f>R102-S102</f>
        <v>-853717184159.35986</v>
      </c>
    </row>
    <row r="103" spans="2:20" ht="14.1">
      <c r="B103" s="1006" t="s">
        <v>434</v>
      </c>
      <c r="C103" s="1028" t="s">
        <v>435</v>
      </c>
      <c r="D103" s="1029">
        <v>2613343097.4599991</v>
      </c>
      <c r="E103" s="1029">
        <v>2737778195.77</v>
      </c>
      <c r="F103" s="1029">
        <v>3751658342.1399999</v>
      </c>
      <c r="G103" s="1029">
        <v>3064288922.9400005</v>
      </c>
      <c r="H103" s="1029">
        <v>154993324.23999977</v>
      </c>
      <c r="I103" s="1029">
        <v>4806565677.8799992</v>
      </c>
      <c r="J103" s="1029">
        <v>2477110080.29</v>
      </c>
      <c r="K103" s="1006" t="s">
        <v>434</v>
      </c>
      <c r="L103" s="1028" t="s">
        <v>436</v>
      </c>
      <c r="M103" s="1029">
        <v>2511034646.8899999</v>
      </c>
      <c r="N103" s="1029">
        <v>2698883556.9400001</v>
      </c>
      <c r="O103" s="1029">
        <v>4678500763.2599983</v>
      </c>
      <c r="P103" s="1025">
        <v>418021927.67000198</v>
      </c>
      <c r="Q103" s="1029">
        <v>5132287476.1400003</v>
      </c>
      <c r="R103" s="1025">
        <f>SUM(D103:Q103)</f>
        <v>35044466011.619995</v>
      </c>
      <c r="S103" s="1025"/>
      <c r="T103" s="1025"/>
    </row>
    <row r="104" spans="2:20" ht="14.1">
      <c r="B104" s="1027"/>
      <c r="C104" s="1006" t="s">
        <v>437</v>
      </c>
      <c r="D104" s="1030">
        <f>SUM(D102:D103)</f>
        <v>81710050454.019989</v>
      </c>
      <c r="E104" s="1030">
        <f>SUM(E102:E103)</f>
        <v>66181056513</v>
      </c>
      <c r="F104" s="1030">
        <f>SUM(F102:F103)</f>
        <v>74842409901.830002</v>
      </c>
      <c r="G104" s="1030">
        <f t="shared" ref="G104:J104" si="18">SUM(G102:G103)</f>
        <v>180027608098.62</v>
      </c>
      <c r="H104" s="1030">
        <f t="shared" si="18"/>
        <v>132976266220.82001</v>
      </c>
      <c r="I104" s="1030">
        <f t="shared" si="18"/>
        <v>68702238038.029991</v>
      </c>
      <c r="J104" s="1030">
        <f t="shared" si="18"/>
        <v>153217753234.98999</v>
      </c>
      <c r="K104" s="1027"/>
      <c r="L104" s="1006" t="s">
        <v>437</v>
      </c>
      <c r="M104" s="1030">
        <f>SUM(M102:M103)</f>
        <v>108508336923.92</v>
      </c>
      <c r="N104" s="1030">
        <f>SUM(N102:N103)</f>
        <v>215891330451.62</v>
      </c>
      <c r="O104" s="1030">
        <f>SUM(O102:O103)</f>
        <v>155216415679.82001</v>
      </c>
      <c r="P104" s="1030">
        <f t="shared" ref="P104" si="19">SUM(P102:P103)</f>
        <v>81005337214.639999</v>
      </c>
      <c r="Q104" s="1030">
        <f>SUM(Q102:Q103)</f>
        <v>79265570195.949997</v>
      </c>
      <c r="R104" s="1025">
        <f>SUM(D104:Q104)</f>
        <v>1397544372927.2598</v>
      </c>
      <c r="S104" s="1025">
        <v>2216217091075</v>
      </c>
      <c r="T104" s="1025">
        <f>R104-S104</f>
        <v>-818672718147.74023</v>
      </c>
    </row>
    <row r="106" spans="2:20">
      <c r="B106" s="1031">
        <v>2023</v>
      </c>
      <c r="C106" s="1032"/>
      <c r="D106" s="1032"/>
      <c r="E106" s="1032"/>
      <c r="F106" s="1032"/>
      <c r="G106" s="1032"/>
      <c r="H106" s="1032"/>
      <c r="I106" s="1032"/>
      <c r="J106" s="1032"/>
      <c r="K106" s="1032"/>
      <c r="L106" s="1032"/>
      <c r="M106" s="1032"/>
      <c r="N106" s="1032"/>
      <c r="O106" s="1032"/>
      <c r="P106" s="1032"/>
    </row>
    <row r="107" spans="2:20" ht="15" thickBot="1">
      <c r="B107" s="1033" t="s">
        <v>424</v>
      </c>
      <c r="C107" s="1034" t="s">
        <v>367</v>
      </c>
      <c r="D107" s="1034" t="s">
        <v>312</v>
      </c>
      <c r="E107" s="1034" t="s">
        <v>313</v>
      </c>
      <c r="F107" s="1034" t="s">
        <v>314</v>
      </c>
      <c r="G107" s="1034" t="s">
        <v>315</v>
      </c>
      <c r="H107" s="1034" t="s">
        <v>316</v>
      </c>
      <c r="I107" s="1034" t="s">
        <v>317</v>
      </c>
      <c r="J107" s="1034" t="s">
        <v>318</v>
      </c>
      <c r="K107" s="1034" t="s">
        <v>319</v>
      </c>
      <c r="L107" s="1034" t="s">
        <v>320</v>
      </c>
      <c r="M107" s="1034" t="s">
        <v>321</v>
      </c>
      <c r="N107" s="1034" t="s">
        <v>322</v>
      </c>
      <c r="O107" s="1034" t="s">
        <v>323</v>
      </c>
      <c r="P107" s="1035" t="s">
        <v>25</v>
      </c>
    </row>
    <row r="108" spans="2:20" ht="14.1">
      <c r="B108" s="1036"/>
      <c r="C108" s="1037"/>
      <c r="D108" s="1037" t="s">
        <v>382</v>
      </c>
      <c r="E108" s="1037" t="s">
        <v>382</v>
      </c>
      <c r="F108" s="1037" t="s">
        <v>382</v>
      </c>
      <c r="G108" s="1037" t="s">
        <v>382</v>
      </c>
      <c r="H108" s="1037" t="s">
        <v>382</v>
      </c>
      <c r="I108" s="1037" t="s">
        <v>382</v>
      </c>
      <c r="J108" s="1037" t="s">
        <v>382</v>
      </c>
      <c r="K108" s="1037" t="s">
        <v>382</v>
      </c>
      <c r="L108" s="1037" t="s">
        <v>382</v>
      </c>
      <c r="M108" s="1037" t="s">
        <v>382</v>
      </c>
      <c r="N108" s="1037" t="s">
        <v>382</v>
      </c>
      <c r="O108" s="1037" t="s">
        <v>382</v>
      </c>
      <c r="P108" s="1038"/>
    </row>
    <row r="109" spans="2:20" ht="14.1">
      <c r="B109" s="1039" t="s">
        <v>383</v>
      </c>
      <c r="C109" s="1040" t="s">
        <v>384</v>
      </c>
      <c r="D109" s="1041"/>
      <c r="E109" s="1041"/>
      <c r="F109" s="1041"/>
      <c r="G109" s="1041"/>
      <c r="H109" s="1041"/>
      <c r="I109" s="1041"/>
      <c r="J109" s="1041"/>
      <c r="K109" s="1041"/>
      <c r="L109" s="1041"/>
      <c r="M109" s="1041"/>
      <c r="N109" s="1041"/>
      <c r="O109" s="1041"/>
      <c r="P109" s="1042">
        <f>SUM(D109:O109)</f>
        <v>0</v>
      </c>
    </row>
    <row r="110" spans="2:20" ht="15">
      <c r="B110" s="1039" t="s">
        <v>386</v>
      </c>
      <c r="C110" s="1043" t="s">
        <v>387</v>
      </c>
      <c r="D110" s="1041"/>
      <c r="E110" s="1041"/>
      <c r="F110" s="1041"/>
      <c r="G110" s="1041"/>
      <c r="H110" s="1041"/>
      <c r="I110" s="1041"/>
      <c r="J110" s="1041"/>
      <c r="K110" s="1041"/>
      <c r="L110" s="1041"/>
      <c r="M110" s="1041"/>
      <c r="N110" s="1041"/>
      <c r="O110" s="1041"/>
      <c r="P110" s="1042">
        <f>SUM(D110:O110)</f>
        <v>0</v>
      </c>
    </row>
    <row r="111" spans="2:20" ht="14.1">
      <c r="B111" s="1039" t="s">
        <v>388</v>
      </c>
      <c r="C111" s="1040" t="s">
        <v>389</v>
      </c>
      <c r="D111" s="1041"/>
      <c r="E111" s="1041"/>
      <c r="F111" s="1041"/>
      <c r="G111" s="1041"/>
      <c r="H111" s="1041"/>
      <c r="I111" s="1041"/>
      <c r="J111" s="1041"/>
      <c r="K111" s="1041"/>
      <c r="L111" s="1041"/>
      <c r="M111" s="1041"/>
      <c r="N111" s="1041"/>
      <c r="O111" s="1041"/>
      <c r="P111" s="1042">
        <f t="shared" ref="P111:P122" si="20">SUM(D111:O111)</f>
        <v>0</v>
      </c>
    </row>
    <row r="112" spans="2:20" ht="15" thickBot="1">
      <c r="B112" s="1044" t="s">
        <v>390</v>
      </c>
      <c r="C112" s="1045" t="s">
        <v>391</v>
      </c>
      <c r="D112" s="1046"/>
      <c r="E112" s="1046"/>
      <c r="F112" s="1047"/>
      <c r="G112" s="1046"/>
      <c r="H112" s="1046"/>
      <c r="I112" s="1046"/>
      <c r="J112" s="1047"/>
      <c r="K112" s="1047"/>
      <c r="L112" s="1046"/>
      <c r="M112" s="1047"/>
      <c r="N112" s="1047"/>
      <c r="O112" s="1046"/>
      <c r="P112" s="1042">
        <f t="shared" si="20"/>
        <v>0</v>
      </c>
    </row>
    <row r="113" spans="2:16" ht="15" thickBot="1">
      <c r="B113" s="1048"/>
      <c r="C113" s="1049" t="s">
        <v>440</v>
      </c>
      <c r="D113" s="1050"/>
      <c r="E113" s="1050"/>
      <c r="F113" s="1050"/>
      <c r="G113" s="1050"/>
      <c r="H113" s="1050"/>
      <c r="I113" s="1050"/>
      <c r="J113" s="1050"/>
      <c r="K113" s="1050"/>
      <c r="L113" s="1050"/>
      <c r="M113" s="1050"/>
      <c r="N113" s="1050"/>
      <c r="O113" s="1050"/>
      <c r="P113" s="1042">
        <f t="shared" si="20"/>
        <v>0</v>
      </c>
    </row>
    <row r="114" spans="2:16" ht="14.1">
      <c r="B114" s="1036" t="s">
        <v>395</v>
      </c>
      <c r="C114" s="1037" t="s">
        <v>396</v>
      </c>
      <c r="D114" s="1051">
        <v>15478495638.989998</v>
      </c>
      <c r="E114" s="1051">
        <v>6181585767.9200001</v>
      </c>
      <c r="F114" s="1051">
        <v>28314640943.919998</v>
      </c>
      <c r="G114" s="1051">
        <v>3851622538.3099999</v>
      </c>
      <c r="H114" s="1051">
        <v>73417787157.009995</v>
      </c>
      <c r="I114" s="1051">
        <v>30116563194.16</v>
      </c>
      <c r="J114" s="1051">
        <v>5402525199.8799973</v>
      </c>
      <c r="K114" s="1051">
        <v>58500504346.259995</v>
      </c>
      <c r="L114" s="1051">
        <v>18273710147</v>
      </c>
      <c r="M114" s="1051">
        <v>156664265376.16</v>
      </c>
      <c r="N114" s="1051">
        <v>73012426090</v>
      </c>
      <c r="O114" s="1051">
        <v>25883665829.189999</v>
      </c>
      <c r="P114" s="1042">
        <f t="shared" si="20"/>
        <v>495097792228.79999</v>
      </c>
    </row>
    <row r="115" spans="2:16" ht="14.1">
      <c r="B115" s="1039" t="s">
        <v>397</v>
      </c>
      <c r="C115" s="1040" t="s">
        <v>406</v>
      </c>
      <c r="D115" s="1052"/>
      <c r="E115" s="1052"/>
      <c r="F115" s="1052">
        <v>19223585792</v>
      </c>
      <c r="G115" s="1052">
        <v>70000000000</v>
      </c>
      <c r="H115" s="1052"/>
      <c r="I115" s="1052"/>
      <c r="J115" s="1052">
        <v>56090433420</v>
      </c>
      <c r="K115" s="1052">
        <v>62639614722.529999</v>
      </c>
      <c r="L115" s="1052"/>
      <c r="M115" s="1052">
        <v>17922392656</v>
      </c>
      <c r="N115" s="1052">
        <v>5997178382.8100004</v>
      </c>
      <c r="O115" s="1052"/>
      <c r="P115" s="1042">
        <f t="shared" si="20"/>
        <v>231873204973.34</v>
      </c>
    </row>
    <row r="116" spans="2:16" ht="15">
      <c r="B116" s="1039" t="s">
        <v>399</v>
      </c>
      <c r="C116" s="1043" t="s">
        <v>441</v>
      </c>
      <c r="D116" s="1052"/>
      <c r="E116" s="1052"/>
      <c r="F116" s="1052"/>
      <c r="G116" s="1052"/>
      <c r="H116" s="1052"/>
      <c r="I116" s="1052"/>
      <c r="J116" s="1052"/>
      <c r="K116" s="1052"/>
      <c r="L116" s="1052"/>
      <c r="M116" s="1052"/>
      <c r="N116" s="1052"/>
      <c r="O116" s="1052"/>
      <c r="P116" s="1042">
        <f t="shared" si="20"/>
        <v>0</v>
      </c>
    </row>
    <row r="117" spans="2:16" ht="14.1">
      <c r="B117" s="1039" t="s">
        <v>425</v>
      </c>
      <c r="C117" s="1040" t="s">
        <v>401</v>
      </c>
      <c r="D117" s="1052">
        <v>328616930.19999999</v>
      </c>
      <c r="E117" s="1052">
        <v>126361784.91</v>
      </c>
      <c r="F117" s="1052">
        <v>195730532.91</v>
      </c>
      <c r="G117" s="1052">
        <v>182553394.13999999</v>
      </c>
      <c r="H117" s="1052">
        <v>395569358.70999998</v>
      </c>
      <c r="I117" s="1052">
        <v>5735091002.3400002</v>
      </c>
      <c r="J117" s="1052">
        <v>5283062495.3800001</v>
      </c>
      <c r="K117" s="1052">
        <v>11207298636.449989</v>
      </c>
      <c r="L117" s="1052">
        <v>5150197294.9200001</v>
      </c>
      <c r="M117" s="1052">
        <v>5728909189.0200005</v>
      </c>
      <c r="N117" s="1052">
        <v>1092619552.74</v>
      </c>
      <c r="O117" s="1052">
        <v>711737894.25</v>
      </c>
      <c r="P117" s="1042">
        <f t="shared" si="20"/>
        <v>36137748065.969994</v>
      </c>
    </row>
    <row r="118" spans="2:16" ht="14.1">
      <c r="B118" s="1039" t="s">
        <v>426</v>
      </c>
      <c r="C118" s="1040" t="s">
        <v>402</v>
      </c>
      <c r="D118" s="1052">
        <v>53940432557.240005</v>
      </c>
      <c r="E118" s="1052">
        <v>84074762549.519989</v>
      </c>
      <c r="F118" s="1052">
        <v>37703280780.399994</v>
      </c>
      <c r="G118" s="1052">
        <v>63719279402.489998</v>
      </c>
      <c r="H118" s="1052">
        <v>379111446386.48999</v>
      </c>
      <c r="I118" s="1052">
        <v>16007218364.189999</v>
      </c>
      <c r="J118" s="1052">
        <v>8197899554.6399994</v>
      </c>
      <c r="K118" s="1052">
        <v>39398879010.76001</v>
      </c>
      <c r="L118" s="1052">
        <v>37153640231.840004</v>
      </c>
      <c r="M118" s="1052">
        <v>194817806199.52002</v>
      </c>
      <c r="N118" s="1052">
        <v>29978813923.829998</v>
      </c>
      <c r="O118" s="1052">
        <v>31374818817.09</v>
      </c>
      <c r="P118" s="1042">
        <f t="shared" si="20"/>
        <v>975478277778.00989</v>
      </c>
    </row>
    <row r="119" spans="2:16" ht="14.1">
      <c r="B119" s="1039" t="s">
        <v>268</v>
      </c>
      <c r="C119" s="1040" t="s">
        <v>442</v>
      </c>
      <c r="D119" s="1052">
        <v>48936802547.029999</v>
      </c>
      <c r="E119" s="1052"/>
      <c r="F119" s="1052"/>
      <c r="G119" s="1052"/>
      <c r="H119" s="1052"/>
      <c r="I119" s="1052"/>
      <c r="J119" s="1052"/>
      <c r="K119" s="1052"/>
      <c r="L119" s="1052"/>
      <c r="M119" s="1052"/>
      <c r="N119" s="1052"/>
      <c r="O119" s="1052"/>
      <c r="P119" s="1042">
        <f t="shared" si="20"/>
        <v>48936802547.029999</v>
      </c>
    </row>
    <row r="120" spans="2:16" ht="14.1">
      <c r="B120" s="1039" t="s">
        <v>411</v>
      </c>
      <c r="C120" s="1040" t="s">
        <v>443</v>
      </c>
      <c r="D120" s="1052"/>
      <c r="E120" s="1052"/>
      <c r="F120" s="1052"/>
      <c r="G120" s="1052"/>
      <c r="H120" s="1052"/>
      <c r="I120" s="1052"/>
      <c r="J120" s="1052"/>
      <c r="K120" s="1052"/>
      <c r="L120" s="1052"/>
      <c r="M120" s="1052"/>
      <c r="N120" s="1052"/>
      <c r="O120" s="1052"/>
      <c r="P120" s="1042">
        <f t="shared" si="20"/>
        <v>0</v>
      </c>
    </row>
    <row r="121" spans="2:16" ht="14.1">
      <c r="B121" s="1039" t="s">
        <v>414</v>
      </c>
      <c r="C121" s="1040" t="s">
        <v>398</v>
      </c>
      <c r="D121" s="1052"/>
      <c r="E121" s="1052"/>
      <c r="F121" s="1052"/>
      <c r="G121" s="1052"/>
      <c r="H121" s="1052"/>
      <c r="I121" s="1052"/>
      <c r="J121" s="1052"/>
      <c r="K121" s="1052"/>
      <c r="L121" s="1052"/>
      <c r="M121" s="1052"/>
      <c r="N121" s="1052"/>
      <c r="O121" s="1052"/>
      <c r="P121" s="1042">
        <f t="shared" si="20"/>
        <v>0</v>
      </c>
    </row>
    <row r="122" spans="2:16" ht="15" thickBot="1">
      <c r="B122" s="1053" t="s">
        <v>429</v>
      </c>
      <c r="C122" s="1054" t="s">
        <v>407</v>
      </c>
      <c r="D122" s="1055"/>
      <c r="E122" s="1055"/>
      <c r="F122" s="1055"/>
      <c r="G122" s="1055"/>
      <c r="H122" s="1055"/>
      <c r="I122" s="1055"/>
      <c r="J122" s="1055"/>
      <c r="K122" s="1055"/>
      <c r="L122" s="1055"/>
      <c r="M122" s="1055"/>
      <c r="N122" s="1055"/>
      <c r="O122" s="1055"/>
      <c r="P122" s="1042">
        <f t="shared" si="20"/>
        <v>0</v>
      </c>
    </row>
    <row r="123" spans="2:16" ht="15" thickBot="1">
      <c r="B123" s="1033"/>
      <c r="C123" s="1034" t="s">
        <v>444</v>
      </c>
      <c r="D123" s="1056">
        <f t="shared" ref="D123:O123" si="21">SUM(D114:D122)</f>
        <v>118684347673.46001</v>
      </c>
      <c r="E123" s="1056">
        <f t="shared" si="21"/>
        <v>90382710102.349991</v>
      </c>
      <c r="F123" s="1056">
        <f t="shared" si="21"/>
        <v>85437238049.229996</v>
      </c>
      <c r="G123" s="1056">
        <f t="shared" si="21"/>
        <v>137753455334.94</v>
      </c>
      <c r="H123" s="1056">
        <f t="shared" si="21"/>
        <v>452924802902.20996</v>
      </c>
      <c r="I123" s="1056">
        <f t="shared" si="21"/>
        <v>51858872560.690002</v>
      </c>
      <c r="J123" s="1056">
        <f t="shared" si="21"/>
        <v>74973920669.899994</v>
      </c>
      <c r="K123" s="1056">
        <f t="shared" si="21"/>
        <v>171746296716</v>
      </c>
      <c r="L123" s="1056">
        <f t="shared" si="21"/>
        <v>60577547673.760002</v>
      </c>
      <c r="M123" s="1056">
        <f t="shared" si="21"/>
        <v>375133373420.70001</v>
      </c>
      <c r="N123" s="1056">
        <f t="shared" si="21"/>
        <v>110081037949.38</v>
      </c>
      <c r="O123" s="1056">
        <f t="shared" si="21"/>
        <v>57970222540.529999</v>
      </c>
      <c r="P123" s="1057">
        <f>SUM(D123:O123)</f>
        <v>1787523825593.1497</v>
      </c>
    </row>
    <row r="124" spans="2:16" ht="15.95" thickBot="1">
      <c r="B124" s="1058" t="s">
        <v>434</v>
      </c>
      <c r="C124" s="1059" t="s">
        <v>435</v>
      </c>
      <c r="D124" s="1060">
        <v>4775011477.3999996</v>
      </c>
      <c r="E124" s="1060">
        <v>5109801814</v>
      </c>
      <c r="F124" s="1060">
        <v>5127374891.3199997</v>
      </c>
      <c r="G124" s="1060">
        <v>5252240583.21</v>
      </c>
      <c r="H124" s="1060">
        <v>4998786685.4200001</v>
      </c>
      <c r="I124" s="1060">
        <v>941540438.95000005</v>
      </c>
      <c r="J124" s="1060">
        <v>397627207.19</v>
      </c>
      <c r="K124" s="1060">
        <v>5194659569.7200003</v>
      </c>
      <c r="L124" s="1060">
        <v>516490619.25</v>
      </c>
      <c r="M124" s="1060">
        <v>9578994033.3799992</v>
      </c>
      <c r="N124" s="1060">
        <v>10071212543.57</v>
      </c>
      <c r="O124" s="1060">
        <v>1512997830.8399999</v>
      </c>
      <c r="P124" s="1061">
        <f>SUM(D124:O124)</f>
        <v>53476737694.249992</v>
      </c>
    </row>
    <row r="125" spans="2:16" ht="15" thickBot="1">
      <c r="B125" s="1033"/>
      <c r="C125" s="1034" t="s">
        <v>445</v>
      </c>
      <c r="D125" s="1056">
        <f t="shared" ref="D125:O125" si="22">SUM(D123:D124)</f>
        <v>123459359150.86</v>
      </c>
      <c r="E125" s="1056">
        <f t="shared" si="22"/>
        <v>95492511916.349991</v>
      </c>
      <c r="F125" s="1056">
        <f t="shared" si="22"/>
        <v>90564612940.549988</v>
      </c>
      <c r="G125" s="1056">
        <f t="shared" si="22"/>
        <v>143005695918.14999</v>
      </c>
      <c r="H125" s="1056">
        <f t="shared" si="22"/>
        <v>457923589587.62994</v>
      </c>
      <c r="I125" s="1056">
        <f t="shared" si="22"/>
        <v>52800412999.639999</v>
      </c>
      <c r="J125" s="1056">
        <f t="shared" si="22"/>
        <v>75371547877.089996</v>
      </c>
      <c r="K125" s="1056">
        <f t="shared" si="22"/>
        <v>176940956285.72</v>
      </c>
      <c r="L125" s="1056">
        <f t="shared" si="22"/>
        <v>61094038293.010002</v>
      </c>
      <c r="M125" s="1056">
        <f t="shared" si="22"/>
        <v>384712367454.08002</v>
      </c>
      <c r="N125" s="1056">
        <f t="shared" si="22"/>
        <v>120152250492.95001</v>
      </c>
      <c r="O125" s="1056">
        <f t="shared" si="22"/>
        <v>59483220371.369995</v>
      </c>
      <c r="P125" s="1057">
        <f>SUM(D125:O125)</f>
        <v>1841000563287.3999</v>
      </c>
    </row>
    <row r="128" spans="2:16">
      <c r="B128" s="174">
        <v>2024</v>
      </c>
    </row>
    <row r="129" spans="2:17" ht="15">
      <c r="B129" s="1062" t="s">
        <v>424</v>
      </c>
      <c r="C129" s="1063" t="s">
        <v>367</v>
      </c>
      <c r="D129" s="1064" t="s">
        <v>446</v>
      </c>
      <c r="E129" s="1064" t="s">
        <v>447</v>
      </c>
      <c r="F129" s="1065" t="s">
        <v>448</v>
      </c>
      <c r="G129" s="1065" t="s">
        <v>449</v>
      </c>
      <c r="H129" s="1065" t="s">
        <v>450</v>
      </c>
      <c r="I129" s="1065" t="s">
        <v>451</v>
      </c>
      <c r="J129" s="1065" t="s">
        <v>452</v>
      </c>
      <c r="K129" s="1065" t="s">
        <v>453</v>
      </c>
      <c r="L129" s="1065" t="s">
        <v>454</v>
      </c>
      <c r="M129" s="1065" t="s">
        <v>455</v>
      </c>
      <c r="N129" s="1065" t="s">
        <v>456</v>
      </c>
      <c r="O129" s="1065" t="s">
        <v>457</v>
      </c>
      <c r="P129" s="1064" t="s">
        <v>458</v>
      </c>
      <c r="Q129" s="1064" t="s">
        <v>25</v>
      </c>
    </row>
    <row r="130" spans="2:17" ht="14.1">
      <c r="B130" s="1066"/>
      <c r="C130" s="1067"/>
      <c r="D130" s="1068" t="s">
        <v>382</v>
      </c>
      <c r="E130" s="1068" t="s">
        <v>382</v>
      </c>
      <c r="F130" s="1068" t="s">
        <v>382</v>
      </c>
      <c r="G130" s="1068" t="s">
        <v>382</v>
      </c>
      <c r="H130" s="1068" t="s">
        <v>382</v>
      </c>
      <c r="I130" s="1068" t="s">
        <v>382</v>
      </c>
      <c r="J130" s="1068" t="s">
        <v>382</v>
      </c>
      <c r="K130" s="1068" t="s">
        <v>382</v>
      </c>
      <c r="L130" s="1068" t="s">
        <v>382</v>
      </c>
      <c r="M130" s="1068" t="s">
        <v>382</v>
      </c>
      <c r="N130" s="1068" t="s">
        <v>382</v>
      </c>
      <c r="O130" s="1068" t="s">
        <v>382</v>
      </c>
      <c r="P130" s="1068" t="s">
        <v>382</v>
      </c>
      <c r="Q130" s="1068" t="s">
        <v>382</v>
      </c>
    </row>
    <row r="131" spans="2:17" ht="15">
      <c r="B131" s="1066" t="s">
        <v>383</v>
      </c>
      <c r="C131" s="1067" t="s">
        <v>384</v>
      </c>
      <c r="D131" s="1069" t="s">
        <v>459</v>
      </c>
      <c r="E131" s="1069"/>
      <c r="F131" s="1069"/>
      <c r="G131" s="1069"/>
      <c r="H131" s="1069"/>
      <c r="I131" s="1069"/>
      <c r="J131" s="1069"/>
      <c r="K131" s="1069"/>
      <c r="L131" s="1069"/>
      <c r="M131" s="1069"/>
      <c r="N131" s="1069"/>
      <c r="O131" s="1069"/>
      <c r="P131" s="1069"/>
      <c r="Q131" s="1069" t="s">
        <v>460</v>
      </c>
    </row>
    <row r="132" spans="2:17" ht="15">
      <c r="B132" s="1066" t="s">
        <v>386</v>
      </c>
      <c r="C132" s="1067" t="s">
        <v>387</v>
      </c>
      <c r="D132" s="1069"/>
      <c r="E132" s="1069"/>
      <c r="F132" s="1069"/>
      <c r="G132" s="1069"/>
      <c r="H132" s="1069"/>
      <c r="I132" s="1069"/>
      <c r="J132" s="1069"/>
      <c r="K132" s="1069"/>
      <c r="L132" s="1069"/>
      <c r="M132" s="1069"/>
      <c r="N132" s="1069"/>
      <c r="O132" s="1069"/>
      <c r="P132" s="1069"/>
      <c r="Q132" s="1069" t="s">
        <v>460</v>
      </c>
    </row>
    <row r="133" spans="2:17" ht="15">
      <c r="B133" s="1066" t="s">
        <v>388</v>
      </c>
      <c r="C133" s="1067" t="s">
        <v>389</v>
      </c>
      <c r="D133" s="1069"/>
      <c r="E133" s="1069"/>
      <c r="F133" s="1069"/>
      <c r="G133" s="1069"/>
      <c r="H133" s="1069"/>
      <c r="I133" s="1069"/>
      <c r="J133" s="1069"/>
      <c r="K133" s="1069"/>
      <c r="L133" s="1069"/>
      <c r="M133" s="1069"/>
      <c r="N133" s="1069"/>
      <c r="O133" s="1069"/>
      <c r="P133" s="1069"/>
      <c r="Q133" s="1069" t="s">
        <v>460</v>
      </c>
    </row>
    <row r="134" spans="2:17" ht="15">
      <c r="B134" s="1066" t="s">
        <v>390</v>
      </c>
      <c r="C134" s="1067" t="s">
        <v>391</v>
      </c>
      <c r="D134" s="1069"/>
      <c r="E134" s="1069"/>
      <c r="F134" s="1069"/>
      <c r="G134" s="1069"/>
      <c r="H134" s="1069"/>
      <c r="I134" s="1069"/>
      <c r="J134" s="1069"/>
      <c r="K134" s="1069"/>
      <c r="L134" s="1069"/>
      <c r="M134" s="1069"/>
      <c r="N134" s="1069"/>
      <c r="O134" s="1069"/>
      <c r="P134" s="1069"/>
      <c r="Q134" s="1069" t="s">
        <v>460</v>
      </c>
    </row>
    <row r="135" spans="2:17" ht="15">
      <c r="B135" s="1066"/>
      <c r="C135" s="1067" t="s">
        <v>440</v>
      </c>
      <c r="D135" s="1069" t="s">
        <v>459</v>
      </c>
      <c r="E135" s="1069" t="s">
        <v>416</v>
      </c>
      <c r="F135" s="1069" t="s">
        <v>412</v>
      </c>
      <c r="G135" s="1069" t="s">
        <v>394</v>
      </c>
      <c r="H135" s="1069" t="s">
        <v>385</v>
      </c>
      <c r="I135" s="1069" t="s">
        <v>461</v>
      </c>
      <c r="J135" s="1069" t="s">
        <v>413</v>
      </c>
      <c r="K135" s="1069" t="s">
        <v>394</v>
      </c>
      <c r="L135" s="1069" t="s">
        <v>394</v>
      </c>
      <c r="M135" s="1069" t="s">
        <v>394</v>
      </c>
      <c r="N135" s="1069" t="s">
        <v>394</v>
      </c>
      <c r="O135" s="1069" t="s">
        <v>394</v>
      </c>
      <c r="P135" s="1069"/>
      <c r="Q135" s="1069" t="s">
        <v>460</v>
      </c>
    </row>
    <row r="136" spans="2:17" ht="30">
      <c r="B136" s="1070" t="s">
        <v>395</v>
      </c>
      <c r="C136" s="1071" t="s">
        <v>462</v>
      </c>
      <c r="D136" s="1072">
        <v>85487704058.669998</v>
      </c>
      <c r="E136" s="1072">
        <v>48865178443.080002</v>
      </c>
      <c r="F136" s="1072">
        <v>17547036537.939999</v>
      </c>
      <c r="G136" s="1072">
        <v>24276505141.560001</v>
      </c>
      <c r="H136" s="1072">
        <v>31118672047.389999</v>
      </c>
      <c r="I136" s="1073">
        <v>45809617050.830002</v>
      </c>
      <c r="J136" s="1072">
        <v>55175924221.470001</v>
      </c>
      <c r="K136" s="1072">
        <v>49990469066.470001</v>
      </c>
      <c r="L136" s="1072">
        <v>40284924405.220001</v>
      </c>
      <c r="M136" s="1072">
        <v>42816330686.330002</v>
      </c>
      <c r="N136" s="1072">
        <v>89812918794.369995</v>
      </c>
      <c r="O136" s="1072">
        <v>49057634318.230003</v>
      </c>
      <c r="P136" s="1072"/>
      <c r="Q136" s="1072">
        <v>580242914771.56006</v>
      </c>
    </row>
    <row r="137" spans="2:17" ht="30">
      <c r="B137" s="1066" t="s">
        <v>397</v>
      </c>
      <c r="C137" s="1067" t="s">
        <v>463</v>
      </c>
      <c r="D137" s="1069"/>
      <c r="E137" s="1069"/>
      <c r="F137" s="1069">
        <v>38248907049.529999</v>
      </c>
      <c r="G137" s="1069">
        <v>8469654996.9499998</v>
      </c>
      <c r="H137" s="1069">
        <v>24118713755.779999</v>
      </c>
      <c r="I137" s="1069">
        <v>8719092012.1700001</v>
      </c>
      <c r="J137" s="1069" t="s">
        <v>413</v>
      </c>
      <c r="K137" s="1069" t="s">
        <v>394</v>
      </c>
      <c r="L137" s="1069"/>
      <c r="M137" s="1069">
        <v>6544773709.3699999</v>
      </c>
      <c r="N137" s="1069"/>
      <c r="O137" s="1069"/>
      <c r="P137" s="1069"/>
      <c r="Q137" s="1069">
        <v>86101141523.800003</v>
      </c>
    </row>
    <row r="138" spans="2:17" ht="30">
      <c r="B138" s="1066" t="s">
        <v>399</v>
      </c>
      <c r="C138" s="1067" t="s">
        <v>464</v>
      </c>
      <c r="D138" s="1069"/>
      <c r="E138" s="1069"/>
      <c r="F138" s="1069"/>
      <c r="G138" s="1069"/>
      <c r="H138" s="1074">
        <v>42351058626.419998</v>
      </c>
      <c r="I138" s="1069">
        <v>3645837604.52</v>
      </c>
      <c r="J138" s="1069">
        <v>97135824936</v>
      </c>
      <c r="K138" s="1069" t="s">
        <v>394</v>
      </c>
      <c r="L138" s="1069"/>
      <c r="M138" s="1069"/>
      <c r="N138" s="1069"/>
      <c r="O138" s="1069"/>
      <c r="P138" s="1069"/>
      <c r="Q138" s="1069">
        <v>143132721166.94</v>
      </c>
    </row>
    <row r="139" spans="2:17" ht="30">
      <c r="B139" s="1066" t="s">
        <v>425</v>
      </c>
      <c r="C139" s="1067" t="s">
        <v>465</v>
      </c>
      <c r="D139" s="1069"/>
      <c r="E139" s="1069"/>
      <c r="F139" s="1069"/>
      <c r="G139" s="1069">
        <v>603028505708.56006</v>
      </c>
      <c r="H139" s="1069">
        <v>137187027693.67</v>
      </c>
      <c r="I139" s="1069">
        <v>287521028683.03003</v>
      </c>
      <c r="J139" s="1069">
        <v>7112942988.6899996</v>
      </c>
      <c r="K139" s="1069">
        <v>406369137334.65997</v>
      </c>
      <c r="L139" s="1069">
        <v>233372091.38</v>
      </c>
      <c r="M139" s="1069"/>
      <c r="N139" s="1069"/>
      <c r="O139" s="1069"/>
      <c r="P139" s="1069"/>
      <c r="Q139" s="1069">
        <v>1441452014499.99</v>
      </c>
    </row>
    <row r="140" spans="2:17" ht="30">
      <c r="B140" s="1066" t="s">
        <v>426</v>
      </c>
      <c r="C140" s="1067" t="s">
        <v>466</v>
      </c>
      <c r="D140" s="1069"/>
      <c r="E140" s="1069"/>
      <c r="F140" s="1069"/>
      <c r="G140" s="1069"/>
      <c r="H140" s="1069"/>
      <c r="I140" s="1069"/>
      <c r="J140" s="1069">
        <v>5573899967.7600002</v>
      </c>
      <c r="K140" s="1069"/>
      <c r="L140" s="1069">
        <v>308958712548.64001</v>
      </c>
      <c r="M140" s="1069"/>
      <c r="N140" s="1069"/>
      <c r="O140" s="1069"/>
      <c r="P140" s="1069"/>
      <c r="Q140" s="1069">
        <v>314532612516.40002</v>
      </c>
    </row>
    <row r="141" spans="2:17" ht="15">
      <c r="B141" s="1066" t="s">
        <v>268</v>
      </c>
      <c r="C141" s="1067" t="s">
        <v>467</v>
      </c>
      <c r="D141" s="1069"/>
      <c r="E141" s="1069"/>
      <c r="F141" s="1069"/>
      <c r="G141" s="1069"/>
      <c r="H141" s="1069">
        <v>1539022935.01</v>
      </c>
      <c r="I141" s="1069"/>
      <c r="J141" s="1069"/>
      <c r="K141" s="1069"/>
      <c r="L141" s="1069"/>
      <c r="M141" s="1069"/>
      <c r="N141" s="1069"/>
      <c r="O141" s="1069"/>
      <c r="P141" s="1069"/>
      <c r="Q141" s="1069">
        <v>1539022935.01</v>
      </c>
    </row>
    <row r="142" spans="2:17" ht="15">
      <c r="B142" s="1066" t="s">
        <v>411</v>
      </c>
      <c r="C142" s="1067" t="s">
        <v>468</v>
      </c>
      <c r="D142" s="1069"/>
      <c r="E142" s="1069"/>
      <c r="F142" s="1069"/>
      <c r="G142" s="1069"/>
      <c r="H142" s="1069">
        <v>4845856709.75</v>
      </c>
      <c r="I142" s="1069"/>
      <c r="J142" s="1069"/>
      <c r="K142" s="1069"/>
      <c r="L142" s="1069"/>
      <c r="M142" s="1069"/>
      <c r="N142" s="1069"/>
      <c r="O142" s="1069"/>
      <c r="P142" s="1069"/>
      <c r="Q142" s="1069">
        <v>4845856709.75</v>
      </c>
    </row>
    <row r="143" spans="2:17" ht="30">
      <c r="B143" s="1066" t="s">
        <v>469</v>
      </c>
      <c r="C143" s="1067" t="s">
        <v>470</v>
      </c>
      <c r="D143" s="1069"/>
      <c r="E143" s="1069"/>
      <c r="F143" s="1069">
        <v>78127487636.649994</v>
      </c>
      <c r="G143" s="1069"/>
      <c r="H143" s="1069"/>
      <c r="I143" s="1075">
        <v>4860224685.6499996</v>
      </c>
      <c r="J143" s="1069">
        <v>4776081826.2299995</v>
      </c>
      <c r="K143" s="1069"/>
      <c r="L143" s="1069">
        <v>6029991007.6999998</v>
      </c>
      <c r="M143" s="1069">
        <v>20909722545.389999</v>
      </c>
      <c r="N143" s="1069">
        <v>158077735415.34</v>
      </c>
      <c r="O143" s="1076">
        <v>415263147848.17999</v>
      </c>
      <c r="P143" s="1077"/>
      <c r="Q143" s="1069">
        <v>688044390965.14001</v>
      </c>
    </row>
    <row r="144" spans="2:17" ht="15">
      <c r="B144" s="1066" t="s">
        <v>429</v>
      </c>
      <c r="C144" s="1067" t="s">
        <v>471</v>
      </c>
      <c r="D144" s="1069">
        <v>985805966.58000004</v>
      </c>
      <c r="E144" s="1069">
        <v>257000186.15000001</v>
      </c>
      <c r="F144" s="1069">
        <v>1408979613.04</v>
      </c>
      <c r="G144" s="1069">
        <v>617621896.40999997</v>
      </c>
      <c r="H144" s="1069">
        <v>501924204.89999998</v>
      </c>
      <c r="I144" s="1069">
        <v>154919542.97</v>
      </c>
      <c r="J144" s="1069">
        <v>292627150.07999998</v>
      </c>
      <c r="K144" s="1069">
        <v>787908425.85000002</v>
      </c>
      <c r="L144" s="1069">
        <v>369394942.31999999</v>
      </c>
      <c r="M144" s="1069">
        <v>1075204120.97</v>
      </c>
      <c r="N144" s="1069">
        <v>671579196.42999995</v>
      </c>
      <c r="O144" s="1078">
        <v>817644085.51999998</v>
      </c>
      <c r="P144" s="1069"/>
      <c r="Q144" s="1069">
        <v>7940609331.2200003</v>
      </c>
    </row>
    <row r="145" spans="2:17" ht="30">
      <c r="B145" s="1066" t="s">
        <v>431</v>
      </c>
      <c r="C145" s="1067" t="s">
        <v>472</v>
      </c>
      <c r="D145" s="1069">
        <v>2004431698.4200001</v>
      </c>
      <c r="E145" s="1069">
        <v>1085479079.5699999</v>
      </c>
      <c r="F145" s="1069">
        <v>30226355088.52</v>
      </c>
      <c r="G145" s="1069">
        <v>26242533997.099998</v>
      </c>
      <c r="H145" s="1069">
        <v>20371411588.240002</v>
      </c>
      <c r="I145" s="1069">
        <v>12390528544.09</v>
      </c>
      <c r="J145" s="1069">
        <v>20373052201.189999</v>
      </c>
      <c r="K145" s="1069">
        <v>8103540014.5</v>
      </c>
      <c r="L145" s="1069">
        <v>11300170536.35</v>
      </c>
      <c r="M145" s="1069">
        <v>88620873323.490005</v>
      </c>
      <c r="N145" s="1072">
        <v>10504379586.74</v>
      </c>
      <c r="O145" s="1069">
        <v>92980299285.639999</v>
      </c>
      <c r="P145" s="1069"/>
      <c r="Q145" s="1069">
        <v>324203054943.84998</v>
      </c>
    </row>
    <row r="146" spans="2:17" ht="30">
      <c r="B146" s="1066" t="s">
        <v>432</v>
      </c>
      <c r="C146" s="1067" t="s">
        <v>473</v>
      </c>
      <c r="D146" s="1069"/>
      <c r="E146" s="1069"/>
      <c r="F146" s="1069"/>
      <c r="G146" s="1069"/>
      <c r="H146" s="1069"/>
      <c r="I146" s="1069"/>
      <c r="J146" s="1069"/>
      <c r="K146" s="1069"/>
      <c r="L146" s="1069"/>
      <c r="M146" s="1079"/>
      <c r="N146" s="1069"/>
      <c r="O146" s="1069"/>
      <c r="P146" s="1069"/>
      <c r="Q146" s="1069" t="s">
        <v>460</v>
      </c>
    </row>
    <row r="147" spans="2:17" ht="15">
      <c r="B147" s="1066" t="s">
        <v>433</v>
      </c>
      <c r="C147" s="1067" t="s">
        <v>443</v>
      </c>
      <c r="D147" s="1069"/>
      <c r="E147" s="1069"/>
      <c r="F147" s="1069"/>
      <c r="G147" s="1069"/>
      <c r="H147" s="1069"/>
      <c r="I147" s="1069"/>
      <c r="J147" s="1069"/>
      <c r="K147" s="1069"/>
      <c r="L147" s="1069"/>
      <c r="M147" s="1069"/>
      <c r="N147" s="1069"/>
      <c r="O147" s="1069"/>
      <c r="P147" s="1069"/>
      <c r="Q147" s="1069" t="s">
        <v>460</v>
      </c>
    </row>
    <row r="148" spans="2:17" ht="15">
      <c r="B148" s="1066" t="s">
        <v>434</v>
      </c>
      <c r="C148" s="1067" t="s">
        <v>398</v>
      </c>
      <c r="D148" s="1069"/>
      <c r="E148" s="1069"/>
      <c r="F148" s="1069"/>
      <c r="G148" s="1069"/>
      <c r="H148" s="1069"/>
      <c r="I148" s="1069"/>
      <c r="J148" s="1069"/>
      <c r="K148" s="1069" t="s">
        <v>474</v>
      </c>
      <c r="L148" s="1069"/>
      <c r="M148" s="1069"/>
      <c r="N148" s="1069"/>
      <c r="O148" s="1069"/>
      <c r="P148" s="1069"/>
      <c r="Q148" s="1069" t="s">
        <v>460</v>
      </c>
    </row>
    <row r="149" spans="2:17" ht="15">
      <c r="B149" s="1066" t="s">
        <v>475</v>
      </c>
      <c r="C149" s="1067" t="s">
        <v>407</v>
      </c>
      <c r="D149" s="1069">
        <v>1567307820.5</v>
      </c>
      <c r="E149" s="1069"/>
      <c r="F149" s="1069"/>
      <c r="G149" s="1069"/>
      <c r="H149" s="1069"/>
      <c r="I149" s="1069"/>
      <c r="J149" s="1069"/>
      <c r="K149" s="1069">
        <v>4614925978.1099997</v>
      </c>
      <c r="L149" s="1069"/>
      <c r="M149" s="1069"/>
      <c r="N149" s="1069"/>
      <c r="O149" s="1069"/>
      <c r="P149" s="1069"/>
      <c r="Q149" s="1069">
        <v>6182233798.6099997</v>
      </c>
    </row>
    <row r="150" spans="2:17" ht="15">
      <c r="B150" s="1070"/>
      <c r="C150" s="1071" t="s">
        <v>444</v>
      </c>
      <c r="D150" s="1072">
        <v>90045249544.169998</v>
      </c>
      <c r="E150" s="1072">
        <v>50207657708.800003</v>
      </c>
      <c r="F150" s="1072">
        <v>165558765925.67999</v>
      </c>
      <c r="G150" s="1072">
        <v>662634821740.57996</v>
      </c>
      <c r="H150" s="1072">
        <v>262033687561.16</v>
      </c>
      <c r="I150" s="1072">
        <v>363101248123.26001</v>
      </c>
      <c r="J150" s="1072">
        <v>190440353291.42001</v>
      </c>
      <c r="K150" s="1072">
        <v>469865980819.59003</v>
      </c>
      <c r="L150" s="1072">
        <v>367176565531.60999</v>
      </c>
      <c r="M150" s="1072">
        <v>159966904385.54999</v>
      </c>
      <c r="N150" s="1072">
        <v>259066612992.88</v>
      </c>
      <c r="O150" s="1072">
        <v>558118725537.56995</v>
      </c>
      <c r="P150" s="1072"/>
      <c r="Q150" s="1072">
        <v>3598216573162.2798</v>
      </c>
    </row>
    <row r="151" spans="2:17" ht="15">
      <c r="B151" s="1070" t="s">
        <v>476</v>
      </c>
      <c r="C151" s="1071" t="s">
        <v>477</v>
      </c>
      <c r="D151" s="1072"/>
      <c r="E151" s="1072"/>
      <c r="F151" s="1072"/>
      <c r="G151" s="1072"/>
      <c r="H151" s="1072"/>
      <c r="I151" s="1072"/>
      <c r="J151" s="1072"/>
      <c r="K151" s="1072"/>
      <c r="L151" s="1072"/>
      <c r="M151" s="1072"/>
      <c r="N151" s="1072"/>
      <c r="O151" s="1072"/>
      <c r="P151" s="1072"/>
      <c r="Q151" s="1072" t="s">
        <v>460</v>
      </c>
    </row>
    <row r="152" spans="2:17" ht="30">
      <c r="B152" s="1066" t="s">
        <v>478</v>
      </c>
      <c r="C152" s="1067" t="s">
        <v>479</v>
      </c>
      <c r="D152" s="1069">
        <v>5293635327.1700001</v>
      </c>
      <c r="E152" s="1069">
        <v>6710377436.46</v>
      </c>
      <c r="F152" s="1069">
        <v>765733211.48000002</v>
      </c>
      <c r="G152" s="1069">
        <v>11739695029.4</v>
      </c>
      <c r="H152" s="1069">
        <v>5905198777.8299999</v>
      </c>
      <c r="I152" s="1069">
        <v>792426258.65999997</v>
      </c>
      <c r="J152" s="1069">
        <v>16277481616.84</v>
      </c>
      <c r="K152" s="1069">
        <v>586757126.48000002</v>
      </c>
      <c r="L152" s="1069">
        <v>5913979583.6999998</v>
      </c>
      <c r="M152" s="1069">
        <v>5984626546.4499998</v>
      </c>
      <c r="N152" s="1069">
        <v>8474545118.0600004</v>
      </c>
      <c r="O152" s="1069">
        <v>9220102004.0100002</v>
      </c>
      <c r="P152" s="1069"/>
      <c r="Q152" s="1069">
        <v>77664558036.539993</v>
      </c>
    </row>
    <row r="153" spans="2:17" ht="15">
      <c r="B153" s="1066"/>
      <c r="C153" s="1067" t="s">
        <v>445</v>
      </c>
      <c r="D153" s="1069">
        <v>95338884871.339996</v>
      </c>
      <c r="E153" s="1069">
        <v>56918035145.260002</v>
      </c>
      <c r="F153" s="1069">
        <v>166324499137.16</v>
      </c>
      <c r="G153" s="1069">
        <v>674374516769.97998</v>
      </c>
      <c r="H153" s="1069">
        <v>267938886338.98999</v>
      </c>
      <c r="I153" s="1069">
        <v>363893674381.91998</v>
      </c>
      <c r="J153" s="1069">
        <v>206717834908.26001</v>
      </c>
      <c r="K153" s="1069">
        <v>470452737946.07001</v>
      </c>
      <c r="L153" s="1069">
        <v>373090545115.31</v>
      </c>
      <c r="M153" s="1069">
        <v>165951530932</v>
      </c>
      <c r="N153" s="1069">
        <v>267541158110.94</v>
      </c>
      <c r="O153" s="1069">
        <v>567338827541.57996</v>
      </c>
      <c r="P153" s="1069">
        <v>2691775748763</v>
      </c>
      <c r="Q153" s="1074">
        <v>3675881131198.8198</v>
      </c>
    </row>
    <row r="154" spans="2:17" ht="14.1">
      <c r="B154" s="1066"/>
      <c r="C154" s="1067"/>
      <c r="D154" s="1069"/>
      <c r="E154" s="1069"/>
      <c r="F154" s="1069"/>
      <c r="G154" s="1069"/>
      <c r="H154" s="1069"/>
      <c r="I154" s="1069"/>
      <c r="J154" s="1069"/>
      <c r="K154" s="1069"/>
      <c r="L154" s="1069"/>
      <c r="M154" s="1069"/>
      <c r="N154" s="1069"/>
      <c r="O154" s="1069"/>
      <c r="P154" s="1069"/>
      <c r="Q154" s="1069"/>
    </row>
    <row r="155" spans="2:17" ht="14.1">
      <c r="B155" s="1080"/>
      <c r="C155" s="1081" t="s">
        <v>480</v>
      </c>
      <c r="D155" s="1082"/>
      <c r="E155" s="1082"/>
      <c r="F155" s="1083"/>
      <c r="G155" s="1083"/>
      <c r="H155" s="1082"/>
      <c r="I155" s="1082"/>
      <c r="J155" s="1082"/>
      <c r="K155" s="1083"/>
      <c r="L155" s="1083"/>
      <c r="M155" s="1083"/>
      <c r="N155" s="1083"/>
      <c r="O155" s="1084"/>
      <c r="P155" s="1083"/>
      <c r="Q155" s="1083"/>
    </row>
    <row r="156" spans="2:17" ht="14.1">
      <c r="B156" s="1080">
        <v>1</v>
      </c>
      <c r="C156" s="1083" t="s">
        <v>481</v>
      </c>
      <c r="D156" s="1083"/>
      <c r="E156" s="1083"/>
      <c r="F156" s="1083"/>
      <c r="G156" s="1083"/>
      <c r="H156" s="1083"/>
      <c r="I156" s="1083"/>
      <c r="J156" s="1082"/>
      <c r="K156" s="1082"/>
      <c r="L156" s="1082"/>
      <c r="M156" s="1083"/>
      <c r="N156" s="1083"/>
      <c r="O156" s="1084"/>
      <c r="P156" s="1083"/>
      <c r="Q156" s="1083"/>
    </row>
    <row r="157" spans="2:17" ht="14.1">
      <c r="B157" s="1080">
        <v>2</v>
      </c>
      <c r="C157" s="1083" t="s">
        <v>482</v>
      </c>
      <c r="D157" s="1083"/>
      <c r="E157" s="1083"/>
      <c r="F157" s="1083"/>
      <c r="G157" s="1083"/>
      <c r="H157" s="1083"/>
      <c r="I157" s="1082"/>
      <c r="J157" s="1082"/>
      <c r="K157" s="1082"/>
      <c r="L157" s="1083"/>
      <c r="M157" s="1083"/>
      <c r="N157" s="1083"/>
      <c r="O157" s="1083"/>
      <c r="P157" s="1083"/>
      <c r="Q157" s="1083"/>
    </row>
    <row r="158" spans="2:17" ht="14.1">
      <c r="B158" s="1080">
        <v>3</v>
      </c>
      <c r="C158" s="1083" t="s">
        <v>483</v>
      </c>
      <c r="D158" s="1083"/>
      <c r="E158" s="1083"/>
      <c r="F158" s="1083"/>
      <c r="G158" s="1083"/>
      <c r="H158" s="1083"/>
      <c r="I158" s="1083"/>
      <c r="J158" s="1083"/>
      <c r="K158" s="1083"/>
      <c r="L158" s="1083"/>
      <c r="M158" s="1083"/>
      <c r="N158" s="1083"/>
      <c r="O158" s="1083"/>
      <c r="P158" s="1083"/>
      <c r="Q158" s="1083"/>
    </row>
    <row r="159" spans="2:17" ht="14.1">
      <c r="B159" s="1080">
        <v>4</v>
      </c>
      <c r="C159" s="1083" t="s">
        <v>484</v>
      </c>
      <c r="D159" s="1083"/>
      <c r="E159" s="1083"/>
      <c r="F159" s="1083"/>
      <c r="G159" s="1083"/>
      <c r="H159" s="1083"/>
      <c r="I159" s="1083"/>
      <c r="J159" s="1083"/>
      <c r="K159" s="1083"/>
      <c r="L159" s="1083"/>
      <c r="M159" s="1083"/>
      <c r="N159" s="1083"/>
      <c r="O159" s="1083"/>
      <c r="P159" s="1083"/>
      <c r="Q159" s="1083"/>
    </row>
    <row r="160" spans="2:17" ht="14.1">
      <c r="B160" s="1080">
        <v>5</v>
      </c>
      <c r="C160" s="1083" t="s">
        <v>485</v>
      </c>
      <c r="D160" s="1083"/>
      <c r="E160" s="1083"/>
      <c r="F160" s="1083"/>
      <c r="G160" s="1082"/>
      <c r="H160" s="1083"/>
      <c r="I160" s="1083"/>
      <c r="J160" s="1083"/>
      <c r="K160" s="1083"/>
      <c r="L160" s="1083"/>
      <c r="M160" s="1083"/>
      <c r="N160" s="1083"/>
      <c r="O160" s="1083"/>
      <c r="P160" s="1083"/>
      <c r="Q160" s="1083"/>
    </row>
    <row r="161" spans="2:17" ht="14.1">
      <c r="B161" s="1080">
        <v>6</v>
      </c>
      <c r="C161" s="1083" t="s">
        <v>486</v>
      </c>
      <c r="D161" s="1083"/>
      <c r="E161" s="1083"/>
      <c r="F161" s="1083"/>
      <c r="G161" s="1082"/>
      <c r="H161" s="1083"/>
      <c r="I161" s="1083"/>
      <c r="J161" s="1082"/>
      <c r="K161" s="1083"/>
      <c r="L161" s="1083"/>
      <c r="M161" s="1083"/>
      <c r="N161" s="1083"/>
      <c r="O161" s="1083"/>
      <c r="P161" s="1083"/>
      <c r="Q161" s="1083"/>
    </row>
    <row r="162" spans="2:17" ht="14.1">
      <c r="B162" s="1080">
        <v>7</v>
      </c>
      <c r="C162" s="1083" t="s">
        <v>487</v>
      </c>
      <c r="D162" s="1083"/>
      <c r="E162" s="1083"/>
      <c r="F162" s="1083"/>
      <c r="G162" s="1083"/>
      <c r="H162" s="1083"/>
      <c r="I162" s="1083"/>
      <c r="J162" s="1083"/>
      <c r="K162" s="1083"/>
      <c r="L162" s="1083"/>
      <c r="M162" s="1083"/>
      <c r="N162" s="1083"/>
      <c r="O162" s="1083"/>
      <c r="P162" s="1083"/>
      <c r="Q162" s="1083"/>
    </row>
    <row r="163" spans="2:17" ht="14.1">
      <c r="B163" s="1085">
        <v>8</v>
      </c>
      <c r="C163" s="1086" t="s">
        <v>488</v>
      </c>
      <c r="D163" s="1086"/>
      <c r="E163" s="1086"/>
      <c r="F163" s="1086"/>
      <c r="G163" s="1086"/>
      <c r="H163" s="1086"/>
      <c r="I163" s="1086"/>
      <c r="J163" s="1086"/>
      <c r="K163" s="1087"/>
      <c r="L163" s="1086"/>
      <c r="M163" s="1086"/>
      <c r="N163" s="1086"/>
      <c r="O163" s="1086"/>
      <c r="P163" s="1086"/>
      <c r="Q163" s="1086"/>
    </row>
    <row r="164" spans="2:17" ht="14.1">
      <c r="B164" s="1080">
        <v>9</v>
      </c>
      <c r="C164" s="1083" t="s">
        <v>489</v>
      </c>
      <c r="D164" s="1083"/>
      <c r="E164" s="1083"/>
      <c r="F164" s="1083"/>
      <c r="G164" s="1083"/>
      <c r="H164" s="1083"/>
      <c r="I164" s="1083"/>
      <c r="J164" s="1082"/>
      <c r="K164" s="1083"/>
      <c r="L164" s="1083"/>
      <c r="M164" s="1083"/>
      <c r="N164" s="1083"/>
      <c r="O164" s="1083"/>
      <c r="P164" s="1083"/>
      <c r="Q164" s="1083"/>
    </row>
    <row r="165" spans="2:17" ht="14.1">
      <c r="B165" s="1080">
        <v>10</v>
      </c>
      <c r="C165" s="1083" t="s">
        <v>490</v>
      </c>
      <c r="D165" s="1083"/>
      <c r="E165" s="1083"/>
      <c r="F165" s="1083"/>
      <c r="G165" s="1083"/>
      <c r="H165" s="1083"/>
      <c r="I165" s="1083"/>
      <c r="J165" s="1083"/>
      <c r="K165" s="1082"/>
      <c r="L165" s="1083"/>
      <c r="M165" s="1083"/>
      <c r="N165" s="1083"/>
      <c r="O165" s="1083"/>
      <c r="P165" s="1083"/>
      <c r="Q165" s="1083"/>
    </row>
    <row r="166" spans="2:17" ht="14.1">
      <c r="B166" s="1080">
        <v>11</v>
      </c>
      <c r="C166" s="1083" t="s">
        <v>491</v>
      </c>
      <c r="D166" s="1083"/>
      <c r="E166" s="1083"/>
      <c r="F166" s="1083"/>
      <c r="G166" s="1083"/>
      <c r="H166" s="1083"/>
      <c r="I166" s="1083"/>
      <c r="J166" s="1082"/>
      <c r="K166" s="1083"/>
      <c r="L166" s="1083"/>
      <c r="M166" s="1083"/>
      <c r="N166" s="1083"/>
      <c r="O166" s="1083"/>
      <c r="P166" s="1083"/>
      <c r="Q166" s="1083"/>
    </row>
    <row r="167" spans="2:17" ht="14.1">
      <c r="B167" s="1080">
        <v>12</v>
      </c>
      <c r="C167" s="1083" t="s">
        <v>492</v>
      </c>
      <c r="D167" s="1083"/>
      <c r="E167" s="1083"/>
      <c r="F167" s="1083"/>
      <c r="G167" s="1083"/>
      <c r="H167" s="1083"/>
      <c r="I167" s="1083"/>
      <c r="J167" s="1082"/>
      <c r="K167" s="1083"/>
      <c r="L167" s="1083"/>
      <c r="M167" s="1083"/>
      <c r="N167" s="1083"/>
      <c r="O167" s="1083"/>
      <c r="P167" s="1083"/>
      <c r="Q167" s="1083"/>
    </row>
    <row r="170" spans="2:17" ht="14.1">
      <c r="B170" s="1088">
        <v>2025</v>
      </c>
    </row>
    <row r="171" spans="2:17" ht="14.1">
      <c r="B171" s="1089" t="s">
        <v>424</v>
      </c>
      <c r="C171" s="1090" t="s">
        <v>367</v>
      </c>
      <c r="D171" s="1090" t="s">
        <v>446</v>
      </c>
      <c r="E171" s="1090" t="s">
        <v>447</v>
      </c>
      <c r="F171" s="1090" t="s">
        <v>448</v>
      </c>
      <c r="G171" s="1090" t="s">
        <v>493</v>
      </c>
      <c r="H171" s="1090" t="s">
        <v>450</v>
      </c>
      <c r="I171" s="1090" t="s">
        <v>451</v>
      </c>
      <c r="J171" s="1090" t="s">
        <v>452</v>
      </c>
      <c r="K171" s="1090" t="s">
        <v>494</v>
      </c>
      <c r="L171" s="1090" t="s">
        <v>495</v>
      </c>
      <c r="M171" s="1090" t="s">
        <v>496</v>
      </c>
      <c r="N171" s="1090" t="s">
        <v>497</v>
      </c>
      <c r="O171" s="1090" t="s">
        <v>498</v>
      </c>
      <c r="P171" s="1090" t="s">
        <v>25</v>
      </c>
    </row>
    <row r="172" spans="2:17" ht="14.1">
      <c r="B172" s="1091"/>
      <c r="C172" s="1092"/>
      <c r="D172" s="1093" t="s">
        <v>382</v>
      </c>
      <c r="E172" s="1093" t="s">
        <v>382</v>
      </c>
      <c r="F172" s="1093" t="s">
        <v>382</v>
      </c>
      <c r="G172" s="1093" t="s">
        <v>382</v>
      </c>
      <c r="H172" s="1093" t="s">
        <v>382</v>
      </c>
      <c r="I172" s="1093" t="s">
        <v>382</v>
      </c>
      <c r="J172" s="1093" t="s">
        <v>382</v>
      </c>
      <c r="K172" s="1093" t="s">
        <v>382</v>
      </c>
      <c r="L172" s="1093" t="s">
        <v>382</v>
      </c>
      <c r="M172" s="1093" t="s">
        <v>382</v>
      </c>
      <c r="N172" s="1093" t="s">
        <v>382</v>
      </c>
      <c r="O172" s="1093" t="s">
        <v>382</v>
      </c>
      <c r="P172" s="1093" t="s">
        <v>382</v>
      </c>
    </row>
    <row r="173" spans="2:17" ht="14.1">
      <c r="B173" s="1091" t="s">
        <v>383</v>
      </c>
      <c r="C173" s="1092" t="s">
        <v>384</v>
      </c>
      <c r="D173" s="1094" t="s">
        <v>499</v>
      </c>
      <c r="E173" s="1094"/>
      <c r="F173" s="1094"/>
      <c r="G173" s="1094"/>
      <c r="H173" s="1094"/>
      <c r="I173" s="1094"/>
      <c r="J173" s="1094"/>
      <c r="K173" s="1094"/>
      <c r="L173" s="1094"/>
      <c r="M173" s="1094"/>
      <c r="N173" s="1094"/>
      <c r="O173" s="1094"/>
      <c r="P173" s="1094" t="s">
        <v>413</v>
      </c>
    </row>
    <row r="174" spans="2:17" ht="15">
      <c r="B174" s="1091" t="s">
        <v>386</v>
      </c>
      <c r="C174" s="1095" t="s">
        <v>387</v>
      </c>
      <c r="D174" s="1094"/>
      <c r="E174" s="1094"/>
      <c r="F174" s="1094"/>
      <c r="G174" s="1094"/>
      <c r="H174" s="1094"/>
      <c r="I174" s="1094"/>
      <c r="J174" s="1094"/>
      <c r="K174" s="1094"/>
      <c r="L174" s="1094"/>
      <c r="M174" s="1094"/>
      <c r="N174" s="1094"/>
      <c r="O174" s="1094"/>
      <c r="P174" s="1094" t="s">
        <v>413</v>
      </c>
    </row>
    <row r="175" spans="2:17" ht="14.1">
      <c r="B175" s="1091" t="s">
        <v>388</v>
      </c>
      <c r="C175" s="1092" t="s">
        <v>389</v>
      </c>
      <c r="D175" s="1094"/>
      <c r="E175" s="1094"/>
      <c r="F175" s="1094"/>
      <c r="G175" s="1094"/>
      <c r="H175" s="1094"/>
      <c r="I175" s="1094"/>
      <c r="J175" s="1094"/>
      <c r="K175" s="1094"/>
      <c r="L175" s="1094"/>
      <c r="M175" s="1094"/>
      <c r="N175" s="1094"/>
      <c r="O175" s="1094"/>
      <c r="P175" s="1094" t="s">
        <v>413</v>
      </c>
    </row>
    <row r="176" spans="2:17" ht="14.1">
      <c r="B176" s="1091" t="s">
        <v>390</v>
      </c>
      <c r="C176" s="1092" t="s">
        <v>391</v>
      </c>
      <c r="D176" s="1094"/>
      <c r="E176" s="1094"/>
      <c r="F176" s="1096"/>
      <c r="G176" s="1096"/>
      <c r="H176" s="1096"/>
      <c r="I176" s="1096"/>
      <c r="J176" s="1096"/>
      <c r="K176" s="1096"/>
      <c r="L176" s="1096"/>
      <c r="M176" s="1097"/>
      <c r="N176" s="1098"/>
      <c r="O176" s="1094"/>
      <c r="P176" s="1094" t="s">
        <v>413</v>
      </c>
    </row>
    <row r="177" spans="2:16" ht="14.1">
      <c r="B177" s="1091"/>
      <c r="C177" s="1092" t="s">
        <v>440</v>
      </c>
      <c r="D177" s="1094" t="s">
        <v>499</v>
      </c>
      <c r="E177" s="1094" t="s">
        <v>499</v>
      </c>
      <c r="F177" s="1099" t="s">
        <v>500</v>
      </c>
      <c r="G177" s="1099"/>
      <c r="H177" s="1099"/>
      <c r="I177" s="1099"/>
      <c r="J177" s="1099"/>
      <c r="K177" s="1099"/>
      <c r="L177" s="1099"/>
      <c r="M177" s="1099"/>
      <c r="N177" s="1094"/>
      <c r="O177" s="1094"/>
      <c r="P177" s="1094" t="s">
        <v>413</v>
      </c>
    </row>
    <row r="178" spans="2:16" ht="30">
      <c r="B178" s="1100" t="s">
        <v>395</v>
      </c>
      <c r="C178" s="1101" t="s">
        <v>462</v>
      </c>
      <c r="D178" s="1094">
        <v>52952575353.260002</v>
      </c>
      <c r="E178" s="1102">
        <v>61773071384.790001</v>
      </c>
      <c r="F178" s="1102">
        <v>45961943040.459999</v>
      </c>
      <c r="G178" s="1094">
        <v>73664640817.110001</v>
      </c>
      <c r="H178" s="1102">
        <v>51560053013.879997</v>
      </c>
      <c r="I178" s="1102">
        <v>45442121240.110001</v>
      </c>
      <c r="J178" s="1102">
        <v>65685141187.610001</v>
      </c>
      <c r="K178" s="1102">
        <v>37329267462.080002</v>
      </c>
      <c r="L178" s="1102">
        <v>38002760334.25</v>
      </c>
      <c r="M178" s="1094">
        <v>49681802399.800003</v>
      </c>
      <c r="N178" s="1094">
        <v>44321033427.510002</v>
      </c>
      <c r="O178" s="1094">
        <v>39827028883.540001</v>
      </c>
      <c r="P178" s="1094">
        <v>606201438544.40002</v>
      </c>
    </row>
    <row r="179" spans="2:16" ht="30">
      <c r="B179" s="1091" t="s">
        <v>397</v>
      </c>
      <c r="C179" s="1101" t="s">
        <v>501</v>
      </c>
      <c r="D179" s="1102"/>
      <c r="E179" s="1102"/>
      <c r="F179" s="1102">
        <v>41850074742.419998</v>
      </c>
      <c r="G179" s="1103"/>
      <c r="H179" s="1104">
        <v>141531628765.81</v>
      </c>
      <c r="I179" s="1102">
        <v>20000000000</v>
      </c>
      <c r="J179" s="1102"/>
      <c r="K179" s="1102">
        <v>2308824925.6300001</v>
      </c>
      <c r="L179" s="1102">
        <v>23874816945.48</v>
      </c>
      <c r="M179" s="1094">
        <v>5466818942.0500002</v>
      </c>
      <c r="N179" s="1094"/>
      <c r="O179" s="1094">
        <v>37831071888.07</v>
      </c>
      <c r="P179" s="1094">
        <v>272863236209.45999</v>
      </c>
    </row>
    <row r="180" spans="2:16" ht="30">
      <c r="B180" s="1091" t="s">
        <v>399</v>
      </c>
      <c r="C180" s="1095" t="s">
        <v>463</v>
      </c>
      <c r="D180" s="1094">
        <v>5007290689.7200003</v>
      </c>
      <c r="E180" s="1094">
        <v>6559060475.4099998</v>
      </c>
      <c r="F180" s="1094"/>
      <c r="G180" s="1099"/>
      <c r="H180" s="1102">
        <v>30526509622.720001</v>
      </c>
      <c r="I180" s="1102"/>
      <c r="J180" s="1102">
        <v>29000000000</v>
      </c>
      <c r="K180" s="1102">
        <v>36611826101.690002</v>
      </c>
      <c r="L180" s="1102">
        <v>973490903.13</v>
      </c>
      <c r="M180" s="1094">
        <v>61146129310.760002</v>
      </c>
      <c r="N180" s="1094">
        <v>32509628320.41</v>
      </c>
      <c r="O180" s="1094">
        <v>34455753887.080002</v>
      </c>
      <c r="P180" s="1094">
        <v>236789689310.92001</v>
      </c>
    </row>
    <row r="181" spans="2:16" ht="30">
      <c r="B181" s="1091" t="s">
        <v>425</v>
      </c>
      <c r="C181" s="1095" t="s">
        <v>464</v>
      </c>
      <c r="D181" s="1094"/>
      <c r="E181" s="1094"/>
      <c r="F181" s="1094"/>
      <c r="G181" s="1094"/>
      <c r="H181" s="1094"/>
      <c r="I181" s="1094"/>
      <c r="J181" s="1094"/>
      <c r="K181" s="1094"/>
      <c r="L181" s="1094"/>
      <c r="M181" s="1094"/>
      <c r="N181" s="1094"/>
      <c r="O181" s="1094"/>
      <c r="P181" s="1094" t="s">
        <v>413</v>
      </c>
    </row>
    <row r="182" spans="2:16" ht="30">
      <c r="B182" s="1091" t="s">
        <v>426</v>
      </c>
      <c r="C182" s="1095" t="s">
        <v>465</v>
      </c>
      <c r="D182" s="1094">
        <v>796686106.60000002</v>
      </c>
      <c r="E182" s="1094"/>
      <c r="F182" s="1094">
        <v>26349103579.759998</v>
      </c>
      <c r="G182" s="1094">
        <v>304637094396.03998</v>
      </c>
      <c r="H182" s="1094"/>
      <c r="I182" s="1094"/>
      <c r="J182" s="1094">
        <v>125199797133.03999</v>
      </c>
      <c r="K182" s="1094">
        <v>84893716769.029999</v>
      </c>
      <c r="L182" s="1094">
        <v>81792427261.610001</v>
      </c>
      <c r="M182" s="1094">
        <v>79620627204.809998</v>
      </c>
      <c r="N182" s="1094">
        <v>46349344558.559998</v>
      </c>
      <c r="O182" s="1094">
        <v>67716976219.360001</v>
      </c>
      <c r="P182" s="1094">
        <v>817355773228.81006</v>
      </c>
    </row>
    <row r="183" spans="2:16" ht="30">
      <c r="B183" s="1091" t="s">
        <v>268</v>
      </c>
      <c r="C183" s="1095" t="s">
        <v>466</v>
      </c>
      <c r="D183" s="1094"/>
      <c r="E183" s="1094"/>
      <c r="F183" s="1094"/>
      <c r="G183" s="1094"/>
      <c r="H183" s="1094"/>
      <c r="I183" s="1094"/>
      <c r="J183" s="1094"/>
      <c r="K183" s="1094"/>
      <c r="L183" s="1094">
        <v>9809240795.4400005</v>
      </c>
      <c r="M183" s="1094"/>
      <c r="N183" s="1094"/>
      <c r="O183" s="1094"/>
      <c r="P183" s="1094">
        <v>9809240795.4400005</v>
      </c>
    </row>
    <row r="184" spans="2:16" ht="15">
      <c r="B184" s="1091" t="s">
        <v>411</v>
      </c>
      <c r="C184" s="1095" t="s">
        <v>467</v>
      </c>
      <c r="D184" s="1094"/>
      <c r="E184" s="1094"/>
      <c r="F184" s="1094"/>
      <c r="G184" s="1094"/>
      <c r="H184" s="1094"/>
      <c r="I184" s="1094"/>
      <c r="J184" s="1094">
        <v>16793712.420000002</v>
      </c>
      <c r="K184" s="1094"/>
      <c r="L184" s="1094"/>
      <c r="M184" s="1094" t="s">
        <v>474</v>
      </c>
      <c r="N184" s="1094"/>
      <c r="O184" s="1094"/>
      <c r="P184" s="1094">
        <v>16793712.420000002</v>
      </c>
    </row>
    <row r="185" spans="2:16" ht="15">
      <c r="B185" s="1091" t="s">
        <v>469</v>
      </c>
      <c r="C185" s="1095" t="s">
        <v>468</v>
      </c>
      <c r="D185" s="1094"/>
      <c r="E185" s="1094"/>
      <c r="F185" s="1094"/>
      <c r="G185" s="1094"/>
      <c r="H185" s="1094"/>
      <c r="I185" s="1094"/>
      <c r="J185" s="1094"/>
      <c r="K185" s="1094"/>
      <c r="L185" s="1094"/>
      <c r="M185" s="1094"/>
      <c r="N185" s="1094"/>
      <c r="O185" s="1094"/>
      <c r="P185" s="1094" t="s">
        <v>413</v>
      </c>
    </row>
    <row r="186" spans="2:16" ht="15">
      <c r="B186" s="1091" t="s">
        <v>429</v>
      </c>
      <c r="C186" s="1095" t="s">
        <v>502</v>
      </c>
      <c r="D186" s="1094"/>
      <c r="E186" s="1094"/>
      <c r="F186" s="1094">
        <v>2717454333.1500001</v>
      </c>
      <c r="G186" s="1102">
        <v>85995970695.850006</v>
      </c>
      <c r="H186" s="1105">
        <v>260951462944.06</v>
      </c>
      <c r="I186" s="1106">
        <v>1938255099.4100001</v>
      </c>
      <c r="J186" s="1107">
        <v>938555296.92999995</v>
      </c>
      <c r="K186" s="1107">
        <v>766967300000</v>
      </c>
      <c r="L186" s="1107"/>
      <c r="M186" s="1094">
        <v>149799481020.28</v>
      </c>
      <c r="N186" s="1094"/>
      <c r="O186" s="1094">
        <v>288475340000</v>
      </c>
      <c r="P186" s="1094">
        <v>1557783819389.6799</v>
      </c>
    </row>
    <row r="187" spans="2:16" ht="15">
      <c r="B187" s="1091" t="s">
        <v>431</v>
      </c>
      <c r="C187" s="1095" t="s">
        <v>471</v>
      </c>
      <c r="D187" s="1094">
        <v>602463039.51999998</v>
      </c>
      <c r="E187" s="1094">
        <v>620670841.90999997</v>
      </c>
      <c r="F187" s="1094">
        <v>875943949.96000004</v>
      </c>
      <c r="G187" s="1094">
        <v>804389943.48000002</v>
      </c>
      <c r="H187" s="1099">
        <v>891060209.07000005</v>
      </c>
      <c r="I187" s="1094">
        <v>231197350.02000001</v>
      </c>
      <c r="J187" s="1094">
        <v>297748847.75</v>
      </c>
      <c r="K187" s="1094">
        <v>176971678.50999999</v>
      </c>
      <c r="L187" s="1094">
        <v>270547707.86000001</v>
      </c>
      <c r="M187" s="1094">
        <v>8609988.2100000009</v>
      </c>
      <c r="N187" s="1094">
        <v>1009502904.59</v>
      </c>
      <c r="O187" s="1094">
        <v>887422124.46000004</v>
      </c>
      <c r="P187" s="1094">
        <v>6676528585.3400002</v>
      </c>
    </row>
    <row r="188" spans="2:16" ht="30">
      <c r="B188" s="1091" t="s">
        <v>432</v>
      </c>
      <c r="C188" s="1095" t="s">
        <v>472</v>
      </c>
      <c r="D188" s="1094">
        <v>28620244822.939999</v>
      </c>
      <c r="E188" s="1094">
        <v>11567389414.969999</v>
      </c>
      <c r="F188" s="1094">
        <v>9546393192.0799999</v>
      </c>
      <c r="G188" s="1094">
        <v>16812218665.379999</v>
      </c>
      <c r="H188" s="1094">
        <v>14459586485.219999</v>
      </c>
      <c r="I188" s="1094">
        <v>12222672423.42</v>
      </c>
      <c r="J188" s="1094">
        <v>12530026905.23</v>
      </c>
      <c r="K188" s="1094">
        <v>13209729435.74</v>
      </c>
      <c r="L188" s="1094">
        <v>12647161779.040001</v>
      </c>
      <c r="M188" s="1094">
        <v>49544957226.400002</v>
      </c>
      <c r="N188" s="1094">
        <v>43010585868.349998</v>
      </c>
      <c r="O188" s="1094">
        <v>80453430773.399994</v>
      </c>
      <c r="P188" s="1094">
        <v>304624396992.16998</v>
      </c>
    </row>
    <row r="189" spans="2:16" ht="30">
      <c r="B189" s="1091" t="s">
        <v>433</v>
      </c>
      <c r="C189" s="1095" t="s">
        <v>473</v>
      </c>
      <c r="D189" s="1094"/>
      <c r="E189" s="1094"/>
      <c r="F189" s="1094"/>
      <c r="G189" s="1094"/>
      <c r="H189" s="1094"/>
      <c r="I189" s="1094"/>
      <c r="J189" s="1094"/>
      <c r="K189" s="1094"/>
      <c r="L189" s="1094"/>
      <c r="M189" s="1094"/>
      <c r="N189" s="1094"/>
      <c r="O189" s="1094"/>
      <c r="P189" s="1094" t="s">
        <v>413</v>
      </c>
    </row>
    <row r="190" spans="2:16" ht="14.1">
      <c r="B190" s="1091" t="s">
        <v>434</v>
      </c>
      <c r="C190" s="1092" t="s">
        <v>443</v>
      </c>
      <c r="D190" s="1094"/>
      <c r="E190" s="1094"/>
      <c r="F190" s="1094"/>
      <c r="G190" s="1094"/>
      <c r="H190" s="1094"/>
      <c r="I190" s="1094"/>
      <c r="J190" s="1094"/>
      <c r="K190" s="1094"/>
      <c r="L190" s="1094"/>
      <c r="M190" s="1094"/>
      <c r="N190" s="1094"/>
      <c r="O190" s="1094"/>
      <c r="P190" s="1094" t="s">
        <v>413</v>
      </c>
    </row>
    <row r="191" spans="2:16" ht="14.1">
      <c r="B191" s="1091" t="s">
        <v>475</v>
      </c>
      <c r="C191" s="1092" t="s">
        <v>398</v>
      </c>
      <c r="D191" s="1094"/>
      <c r="E191" s="1094"/>
      <c r="F191" s="1094"/>
      <c r="G191" s="1094"/>
      <c r="H191" s="1094"/>
      <c r="I191" s="1094"/>
      <c r="J191" s="1094"/>
      <c r="K191" s="1094"/>
      <c r="L191" s="1094"/>
      <c r="M191" s="1094"/>
      <c r="N191" s="1094"/>
      <c r="O191" s="1094"/>
      <c r="P191" s="1094" t="s">
        <v>413</v>
      </c>
    </row>
    <row r="192" spans="2:16" ht="14.1">
      <c r="B192" s="1091" t="s">
        <v>478</v>
      </c>
      <c r="C192" s="1092" t="s">
        <v>407</v>
      </c>
      <c r="D192" s="1094"/>
      <c r="E192" s="1094"/>
      <c r="F192" s="1094"/>
      <c r="G192" s="1094"/>
      <c r="H192" s="1094"/>
      <c r="I192" s="1094"/>
      <c r="J192" s="1094"/>
      <c r="K192" s="1094"/>
      <c r="L192" s="1094"/>
      <c r="M192" s="1094"/>
      <c r="N192" s="1094"/>
      <c r="O192" s="1094"/>
      <c r="P192" s="1094" t="s">
        <v>413</v>
      </c>
    </row>
    <row r="193" spans="2:16" ht="14.1">
      <c r="B193" s="1100"/>
      <c r="C193" s="1108" t="s">
        <v>444</v>
      </c>
      <c r="D193" s="1102">
        <v>87979260012.039993</v>
      </c>
      <c r="E193" s="1102">
        <v>80520192117.080002</v>
      </c>
      <c r="F193" s="1102">
        <v>127300912837.83</v>
      </c>
      <c r="G193" s="1102">
        <v>481914314517.85999</v>
      </c>
      <c r="H193" s="1102">
        <v>499920301040.76001</v>
      </c>
      <c r="I193" s="1102">
        <v>79834246112.960007</v>
      </c>
      <c r="J193" s="1102">
        <v>233668063082.98001</v>
      </c>
      <c r="K193" s="1102">
        <v>941497636372.68005</v>
      </c>
      <c r="L193" s="1102">
        <v>167370445726.81</v>
      </c>
      <c r="M193" s="1102">
        <v>395268426092.31</v>
      </c>
      <c r="N193" s="1102">
        <v>167200095079.42001</v>
      </c>
      <c r="O193" s="1102">
        <v>549647023775.90997</v>
      </c>
      <c r="P193" s="1094">
        <v>3812120916768.6401</v>
      </c>
    </row>
    <row r="194" spans="2:16" ht="30">
      <c r="B194" s="1091" t="s">
        <v>503</v>
      </c>
      <c r="C194" s="1095" t="s">
        <v>504</v>
      </c>
      <c r="D194" s="1094">
        <v>7687829230.8400002</v>
      </c>
      <c r="E194" s="1094">
        <v>11611582638.030001</v>
      </c>
      <c r="F194" s="1094">
        <v>8511160562.5900002</v>
      </c>
      <c r="G194" s="1094">
        <v>1013322076.83</v>
      </c>
      <c r="H194" s="1094">
        <v>8003551553.1700001</v>
      </c>
      <c r="I194" s="1094">
        <v>8568709107.0299997</v>
      </c>
      <c r="J194" s="1094">
        <v>8221263330.75</v>
      </c>
      <c r="K194" s="1094">
        <v>217101759.78999999</v>
      </c>
      <c r="L194" s="1094">
        <v>7870035234.3299999</v>
      </c>
      <c r="M194" s="1094">
        <v>7745320344.7200003</v>
      </c>
      <c r="N194" s="1094">
        <v>20547864.73</v>
      </c>
      <c r="O194" s="1094">
        <v>152828603974.04999</v>
      </c>
      <c r="P194" s="1094">
        <v>222299027676.85999</v>
      </c>
    </row>
    <row r="195" spans="2:16" ht="14.1">
      <c r="B195" s="1091"/>
      <c r="C195" s="1092"/>
      <c r="D195" s="1094"/>
      <c r="E195" s="1094"/>
      <c r="F195" s="1094"/>
      <c r="G195" s="1094"/>
      <c r="H195" s="1094"/>
      <c r="I195" s="1094"/>
      <c r="J195" s="1094"/>
      <c r="K195" s="1094"/>
      <c r="L195" s="1094"/>
      <c r="M195" s="1094"/>
      <c r="N195" s="1094"/>
      <c r="O195" s="1094"/>
      <c r="P195" s="1094"/>
    </row>
    <row r="196" spans="2:16" ht="14.1">
      <c r="B196" s="1091"/>
      <c r="C196" s="1092" t="s">
        <v>445</v>
      </c>
      <c r="D196" s="1094">
        <v>95667089242.880005</v>
      </c>
      <c r="E196" s="1094">
        <v>92131774755.110001</v>
      </c>
      <c r="F196" s="1094">
        <v>135812073400.42</v>
      </c>
      <c r="G196" s="1094">
        <v>482927636594.69</v>
      </c>
      <c r="H196" s="1094">
        <v>507923852593.92999</v>
      </c>
      <c r="I196" s="1094">
        <v>88402955219.990005</v>
      </c>
      <c r="J196" s="1094">
        <v>241889326413.73001</v>
      </c>
      <c r="K196" s="1094">
        <v>941714738132.46997</v>
      </c>
      <c r="L196" s="1094">
        <v>175240480961.14001</v>
      </c>
      <c r="M196" s="1094">
        <v>403013746437.03003</v>
      </c>
      <c r="N196" s="1094">
        <v>167220642944.14999</v>
      </c>
      <c r="O196" s="1094">
        <v>702475627749.95996</v>
      </c>
      <c r="P196" s="1094">
        <v>4034419944445.5</v>
      </c>
    </row>
    <row r="197" spans="2:16" ht="14.1">
      <c r="B197" s="1109"/>
      <c r="C197" s="1110"/>
      <c r="D197" s="1097"/>
      <c r="E197" s="1097"/>
      <c r="F197" s="1097"/>
      <c r="G197" s="1097"/>
      <c r="H197" s="1097"/>
      <c r="I197" s="1097"/>
      <c r="J197" s="1097"/>
      <c r="K197" s="1097"/>
      <c r="L197" s="1097"/>
      <c r="M197" s="1097"/>
      <c r="N197" s="1097"/>
      <c r="O197" s="1097"/>
      <c r="P197" s="1097"/>
    </row>
    <row r="198" spans="2:16" ht="14.1">
      <c r="B198" s="1109">
        <v>1</v>
      </c>
      <c r="C198" s="1110" t="s">
        <v>505</v>
      </c>
      <c r="D198" s="1110"/>
      <c r="E198" s="1110"/>
      <c r="F198" s="1110"/>
      <c r="G198" s="1097"/>
      <c r="H198" s="1097"/>
      <c r="I198" s="1097"/>
      <c r="J198" s="1097"/>
      <c r="K198" s="1097"/>
      <c r="L198" s="1097"/>
      <c r="M198" s="1097"/>
      <c r="N198" s="1097"/>
      <c r="O198" s="1097"/>
      <c r="P198" s="1097"/>
    </row>
    <row r="199" spans="2:16" ht="14.1">
      <c r="B199" s="1109">
        <v>2</v>
      </c>
      <c r="C199" s="1110" t="s">
        <v>506</v>
      </c>
      <c r="D199" s="1110"/>
      <c r="E199" s="1110"/>
      <c r="F199" s="1110"/>
      <c r="G199" s="1097"/>
      <c r="H199" s="1110"/>
      <c r="I199" s="1110"/>
      <c r="J199" s="1097"/>
      <c r="K199" s="1097"/>
      <c r="L199" s="1110"/>
      <c r="M199" s="1097"/>
      <c r="N199" s="1097"/>
      <c r="O199" s="1097"/>
      <c r="P199" s="1097"/>
    </row>
    <row r="200" spans="2:16" ht="14.1">
      <c r="B200" s="1109">
        <v>3</v>
      </c>
      <c r="C200" s="1110" t="s">
        <v>507</v>
      </c>
      <c r="D200" s="1110"/>
      <c r="E200" s="1110"/>
      <c r="F200" s="1110"/>
      <c r="G200" s="1097"/>
      <c r="H200" s="1097"/>
      <c r="I200" s="1097"/>
      <c r="J200" s="1097"/>
      <c r="K200" s="1097"/>
      <c r="L200" s="1110"/>
      <c r="M200" s="1110"/>
      <c r="N200" s="1110"/>
      <c r="O200" s="1110"/>
      <c r="P200" s="1110"/>
    </row>
    <row r="201" spans="2:16" ht="14.1">
      <c r="B201" s="1109">
        <v>4</v>
      </c>
      <c r="C201" s="1110" t="s">
        <v>508</v>
      </c>
      <c r="D201" s="1110"/>
      <c r="E201" s="1110"/>
      <c r="F201" s="1110"/>
      <c r="G201" s="1097"/>
      <c r="H201" s="1097"/>
      <c r="I201" s="1097"/>
      <c r="J201" s="1097"/>
      <c r="K201" s="1110"/>
      <c r="L201" s="1110"/>
      <c r="M201" s="1110"/>
      <c r="N201" s="1110"/>
      <c r="O201" s="1110"/>
      <c r="P201" s="1110"/>
    </row>
    <row r="202" spans="2:16" ht="14.1">
      <c r="B202" s="1109">
        <v>5</v>
      </c>
      <c r="C202" s="1110" t="s">
        <v>509</v>
      </c>
      <c r="D202" s="1110"/>
      <c r="E202" s="1110"/>
      <c r="F202" s="1110"/>
      <c r="G202" s="1110"/>
      <c r="H202" s="1097"/>
      <c r="I202" s="1110"/>
      <c r="J202" s="1110"/>
      <c r="K202" s="1110"/>
      <c r="L202" s="1110"/>
      <c r="M202" s="1110"/>
      <c r="N202" s="1110"/>
      <c r="O202" s="1110"/>
      <c r="P202" s="1110"/>
    </row>
    <row r="203" spans="2:16" ht="14.1">
      <c r="B203" s="1109">
        <v>6</v>
      </c>
      <c r="C203" s="1110" t="s">
        <v>510</v>
      </c>
      <c r="D203" s="1110"/>
      <c r="E203" s="1110"/>
      <c r="F203" s="1110"/>
      <c r="G203" s="1097"/>
      <c r="H203" s="1097"/>
      <c r="I203" s="1097"/>
      <c r="J203" s="1097"/>
      <c r="K203" s="1110"/>
      <c r="L203" s="1110"/>
      <c r="M203" s="1110"/>
      <c r="N203" s="1110"/>
      <c r="O203" s="1110"/>
      <c r="P203" s="1110"/>
    </row>
    <row r="204" spans="2:16" ht="14.1">
      <c r="B204" s="1109">
        <v>7</v>
      </c>
      <c r="C204" s="1111" t="s">
        <v>511</v>
      </c>
      <c r="D204" s="1111"/>
      <c r="E204" s="1111"/>
      <c r="F204" s="1111"/>
      <c r="G204" s="1110"/>
      <c r="H204" s="1110"/>
      <c r="I204" s="1110"/>
      <c r="J204" s="1110"/>
      <c r="K204" s="1110"/>
      <c r="L204" s="1110"/>
      <c r="M204" s="1110"/>
      <c r="N204" s="1110"/>
      <c r="O204" s="1110"/>
      <c r="P204" s="1110"/>
    </row>
    <row r="205" spans="2:16" ht="14.1">
      <c r="B205" s="1109">
        <v>8</v>
      </c>
      <c r="C205" s="1110" t="s">
        <v>512</v>
      </c>
      <c r="D205" s="1110"/>
      <c r="E205" s="1110"/>
      <c r="F205" s="1110"/>
      <c r="G205" s="1110"/>
      <c r="H205" s="1110"/>
      <c r="I205" s="1110"/>
      <c r="J205" s="1110"/>
      <c r="K205" s="1110"/>
      <c r="L205" s="1110"/>
      <c r="M205" s="1110"/>
      <c r="N205" s="1110"/>
      <c r="O205" s="1110"/>
      <c r="P205" s="1110"/>
    </row>
    <row r="206" spans="2:16" ht="14.1">
      <c r="B206" s="1109">
        <v>9</v>
      </c>
      <c r="C206" s="1110" t="s">
        <v>513</v>
      </c>
      <c r="D206" s="1110"/>
      <c r="E206" s="1110"/>
      <c r="F206" s="1097"/>
      <c r="G206" s="1097"/>
      <c r="H206" s="1110"/>
      <c r="I206" s="1110"/>
      <c r="J206" s="1110"/>
      <c r="K206" s="1110"/>
      <c r="L206" s="1110"/>
      <c r="M206" s="1110"/>
      <c r="N206" s="1110"/>
      <c r="O206" s="1110"/>
      <c r="P206" s="1110"/>
    </row>
    <row r="207" spans="2:16" ht="14.1">
      <c r="B207" s="1109">
        <v>10</v>
      </c>
      <c r="C207" s="1110" t="s">
        <v>514</v>
      </c>
      <c r="D207" s="1110"/>
      <c r="E207" s="1110"/>
      <c r="F207" s="1097"/>
      <c r="G207" s="1097"/>
      <c r="H207" s="1110"/>
      <c r="I207" s="1110"/>
      <c r="J207" s="1110"/>
      <c r="K207" s="1110"/>
      <c r="L207" s="1110"/>
      <c r="M207" s="1110"/>
      <c r="N207" s="1110"/>
      <c r="O207" s="1110"/>
      <c r="P207" s="1110"/>
    </row>
    <row r="208" spans="2:16" ht="14.1">
      <c r="B208" s="1109">
        <v>11</v>
      </c>
      <c r="C208" s="1110" t="s">
        <v>515</v>
      </c>
      <c r="D208" s="1110"/>
      <c r="E208" s="1110"/>
      <c r="F208" s="1110"/>
      <c r="G208" s="1110"/>
      <c r="H208" s="1110"/>
      <c r="I208" s="1110"/>
      <c r="J208" s="1110"/>
      <c r="K208" s="1110"/>
      <c r="L208" s="1110"/>
      <c r="M208" s="1110"/>
      <c r="N208" s="1110"/>
      <c r="O208" s="1110"/>
      <c r="P208" s="1110"/>
    </row>
  </sheetData>
  <mergeCells count="9">
    <mergeCell ref="C80:C81"/>
    <mergeCell ref="L80:L81"/>
    <mergeCell ref="B97:C97"/>
    <mergeCell ref="C19:C20"/>
    <mergeCell ref="K19:K20"/>
    <mergeCell ref="B36:C36"/>
    <mergeCell ref="C51:C52"/>
    <mergeCell ref="K51:K52"/>
    <mergeCell ref="B68:C68"/>
  </mergeCells>
  <conditionalFormatting sqref="B107:P125">
    <cfRule type="colorScale" priority="1">
      <colorScale>
        <cfvo type="min"/>
        <cfvo type="percentile" val="50"/>
        <cfvo type="max"/>
        <color rgb="FF63BE7B"/>
        <color rgb="FFFCFCFF"/>
        <color rgb="FFF8696B"/>
      </colorScale>
    </cfRule>
    <cfRule type="dataBar" priority="2">
      <dataBar>
        <cfvo type="min"/>
        <cfvo type="max"/>
        <color rgb="FF63C384"/>
      </dataBar>
      <extLst>
        <ext xmlns:x14="http://schemas.microsoft.com/office/spreadsheetml/2009/9/main" uri="{B025F937-C7B1-47D3-B67F-A62EFF666E3E}">
          <x14:id>{B5F6A3F1-42C7-BC44-9180-2BA6054AE0F5}</x14:id>
        </ext>
      </extLst>
    </cfRule>
    <cfRule type="dataBar" priority="3">
      <dataBar>
        <cfvo type="min"/>
        <cfvo type="max"/>
        <color rgb="FFFFB628"/>
      </dataBar>
      <extLst>
        <ext xmlns:x14="http://schemas.microsoft.com/office/spreadsheetml/2009/9/main" uri="{B025F937-C7B1-47D3-B67F-A62EFF666E3E}">
          <x14:id>{8CB01917-5F15-8749-A4BC-867CF8F908E6}</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B5F6A3F1-42C7-BC44-9180-2BA6054AE0F5}">
            <x14:dataBar minLength="0" maxLength="100" border="1" negativeBarBorderColorSameAsPositive="0">
              <x14:cfvo type="autoMin"/>
              <x14:cfvo type="autoMax"/>
              <x14:borderColor rgb="FF63C384"/>
              <x14:negativeFillColor rgb="FFFF0000"/>
              <x14:negativeBorderColor rgb="FFFF0000"/>
              <x14:axisColor rgb="FF000000"/>
            </x14:dataBar>
          </x14:cfRule>
          <x14:cfRule type="dataBar" id="{8CB01917-5F15-8749-A4BC-867CF8F908E6}">
            <x14:dataBar minLength="0" maxLength="100" border="1" negativeBarBorderColorSameAsPositive="0">
              <x14:cfvo type="autoMin"/>
              <x14:cfvo type="autoMax"/>
              <x14:borderColor rgb="FFFFB628"/>
              <x14:negativeFillColor rgb="FFFF0000"/>
              <x14:negativeBorderColor rgb="FFFF0000"/>
              <x14:axisColor rgb="FF000000"/>
            </x14:dataBar>
          </x14:cfRule>
          <xm:sqref>B107:P125</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E5754-F98D-41D5-8B24-67CCCB24FFAC}">
  <sheetPr>
    <tabColor theme="7"/>
  </sheetPr>
  <dimension ref="B1:S86"/>
  <sheetViews>
    <sheetView zoomScale="120" zoomScaleNormal="120" workbookViewId="0">
      <selection activeCell="G86" sqref="G86:H86"/>
    </sheetView>
  </sheetViews>
  <sheetFormatPr defaultColWidth="8.7109375" defaultRowHeight="14.1"/>
  <cols>
    <col min="1" max="1" width="3.42578125" style="377" customWidth="1"/>
    <col min="2" max="2" width="68.85546875" style="377" bestFit="1" customWidth="1"/>
    <col min="3" max="3" width="14.28515625" style="377" customWidth="1"/>
    <col min="4" max="4" width="17.7109375" style="377" customWidth="1"/>
    <col min="5" max="5" width="19.28515625" style="377" customWidth="1"/>
    <col min="6" max="6" width="14.85546875" style="377" customWidth="1"/>
    <col min="7" max="7" width="13.28515625" style="377" customWidth="1"/>
    <col min="8" max="8" width="15.42578125" style="377" bestFit="1" customWidth="1"/>
    <col min="9" max="9" width="11.42578125" style="377" bestFit="1" customWidth="1"/>
    <col min="10" max="10" width="15.42578125" style="377" bestFit="1" customWidth="1"/>
    <col min="11" max="11" width="14.140625" style="377" customWidth="1"/>
    <col min="12" max="12" width="15.42578125" style="377" bestFit="1" customWidth="1"/>
    <col min="13" max="13" width="11.42578125" style="377" bestFit="1" customWidth="1"/>
    <col min="14" max="14" width="14" style="377" bestFit="1" customWidth="1"/>
    <col min="15" max="15" width="10.42578125" style="377" bestFit="1" customWidth="1"/>
    <col min="16" max="16" width="15" style="377" bestFit="1" customWidth="1"/>
    <col min="17" max="17" width="11.42578125" style="377" bestFit="1" customWidth="1"/>
    <col min="18" max="18" width="15" style="377" bestFit="1" customWidth="1"/>
    <col min="19" max="16384" width="8.7109375" style="377"/>
  </cols>
  <sheetData>
    <row r="1" spans="2:13">
      <c r="B1" s="493"/>
    </row>
    <row r="2" spans="2:13" ht="15" thickBot="1">
      <c r="B2" s="493" t="s">
        <v>516</v>
      </c>
    </row>
    <row r="3" spans="2:13">
      <c r="B3" s="676" t="s">
        <v>517</v>
      </c>
      <c r="C3" s="1220" t="s">
        <v>518</v>
      </c>
      <c r="D3" s="1222"/>
      <c r="E3" s="1220" t="s">
        <v>519</v>
      </c>
      <c r="F3" s="1222"/>
      <c r="G3" s="1220" t="s">
        <v>520</v>
      </c>
      <c r="H3" s="1222"/>
      <c r="I3" s="1220" t="s">
        <v>521</v>
      </c>
      <c r="J3" s="1222"/>
      <c r="K3" s="1220" t="s">
        <v>522</v>
      </c>
      <c r="L3" s="1221"/>
    </row>
    <row r="4" spans="2:13" ht="15">
      <c r="B4" s="677"/>
      <c r="C4" s="599" t="s">
        <v>523</v>
      </c>
      <c r="D4" s="599" t="s">
        <v>524</v>
      </c>
      <c r="E4" s="599" t="s">
        <v>523</v>
      </c>
      <c r="F4" s="599" t="s">
        <v>524</v>
      </c>
      <c r="G4" s="599" t="s">
        <v>523</v>
      </c>
      <c r="H4" s="599" t="s">
        <v>524</v>
      </c>
      <c r="I4" s="599" t="s">
        <v>523</v>
      </c>
      <c r="J4" s="599" t="s">
        <v>524</v>
      </c>
      <c r="K4" s="599" t="s">
        <v>523</v>
      </c>
      <c r="L4" s="678" t="s">
        <v>524</v>
      </c>
    </row>
    <row r="5" spans="2:13">
      <c r="B5" s="679" t="s">
        <v>525</v>
      </c>
      <c r="C5" s="602">
        <v>42671.7</v>
      </c>
      <c r="D5" s="602">
        <v>19643916.84</v>
      </c>
      <c r="E5" s="600">
        <v>42495.16</v>
      </c>
      <c r="F5" s="600">
        <v>38219849.439999998</v>
      </c>
      <c r="G5" s="602">
        <v>45780.45</v>
      </c>
      <c r="H5" s="602">
        <v>70287530.620000005</v>
      </c>
      <c r="I5" s="600">
        <v>51856.03</v>
      </c>
      <c r="J5" s="600">
        <v>74426735.239999995</v>
      </c>
      <c r="K5" s="602">
        <v>51904.08</v>
      </c>
      <c r="L5" s="680">
        <v>71950245.400000006</v>
      </c>
      <c r="M5" s="598"/>
    </row>
    <row r="6" spans="2:13">
      <c r="B6" s="679" t="s">
        <v>526</v>
      </c>
      <c r="C6" s="602">
        <v>65623.48</v>
      </c>
      <c r="D6" s="603">
        <v>24730774.829999998</v>
      </c>
      <c r="E6" s="600">
        <v>65734.179999999993</v>
      </c>
      <c r="F6" s="600">
        <v>59120858.810000002</v>
      </c>
      <c r="G6" s="602">
        <v>48444.65</v>
      </c>
      <c r="H6" s="602">
        <v>74377920.319999993</v>
      </c>
      <c r="I6" s="600">
        <v>59117.86</v>
      </c>
      <c r="J6" s="600">
        <v>84849333.939999998</v>
      </c>
      <c r="K6" s="602">
        <v>63050.32</v>
      </c>
      <c r="L6" s="680">
        <v>87401336.040000007</v>
      </c>
      <c r="M6" s="598"/>
    </row>
    <row r="7" spans="2:13">
      <c r="B7" s="681" t="s">
        <v>527</v>
      </c>
      <c r="C7" s="602">
        <v>53721.68</v>
      </c>
      <c r="D7" s="602">
        <v>5478993.5899999999</v>
      </c>
      <c r="E7" s="600">
        <v>59242.12</v>
      </c>
      <c r="F7" s="600">
        <v>53281949.509999998</v>
      </c>
      <c r="G7" s="602">
        <v>45860.13</v>
      </c>
      <c r="H7" s="602">
        <v>70409863</v>
      </c>
      <c r="I7" s="600">
        <v>56079.75</v>
      </c>
      <c r="J7" s="600">
        <v>80488865.109999999</v>
      </c>
      <c r="K7" s="602">
        <v>59786.96</v>
      </c>
      <c r="L7" s="680">
        <v>82877621.730000004</v>
      </c>
      <c r="M7" s="598"/>
    </row>
    <row r="8" spans="2:13">
      <c r="B8" s="681" t="s">
        <v>528</v>
      </c>
      <c r="C8" s="602">
        <v>11901.8</v>
      </c>
      <c r="D8" s="602">
        <v>5478993.5899999999</v>
      </c>
      <c r="E8" s="600">
        <v>6518.67</v>
      </c>
      <c r="F8" s="600">
        <v>5862846.9299999997</v>
      </c>
      <c r="G8" s="602">
        <v>2584.52</v>
      </c>
      <c r="H8" s="602">
        <v>3968057.32</v>
      </c>
      <c r="I8" s="600">
        <v>3038.11</v>
      </c>
      <c r="J8" s="600">
        <v>4360468.83</v>
      </c>
      <c r="K8" s="602">
        <v>3263.36</v>
      </c>
      <c r="L8" s="680">
        <v>4523714.3099999996</v>
      </c>
      <c r="M8" s="598"/>
    </row>
    <row r="9" spans="2:13">
      <c r="B9" s="679" t="s">
        <v>529</v>
      </c>
      <c r="C9" s="604">
        <v>108295.18</v>
      </c>
      <c r="D9" s="604">
        <v>49853685.259999998</v>
      </c>
      <c r="E9" s="601">
        <v>108229.34</v>
      </c>
      <c r="F9" s="601">
        <v>97340708.25</v>
      </c>
      <c r="G9" s="604">
        <v>94225.1</v>
      </c>
      <c r="H9" s="604">
        <v>144665450.94</v>
      </c>
      <c r="I9" s="601">
        <v>110973.89</v>
      </c>
      <c r="J9" s="601">
        <v>159276069.18000001</v>
      </c>
      <c r="K9" s="604">
        <v>114954.4</v>
      </c>
      <c r="L9" s="682">
        <v>159351581.44</v>
      </c>
      <c r="M9" s="598"/>
    </row>
    <row r="10" spans="2:13" ht="15" thickBot="1">
      <c r="B10" s="683" t="s">
        <v>530</v>
      </c>
      <c r="C10" s="684">
        <v>460</v>
      </c>
      <c r="D10" s="685"/>
      <c r="E10" s="686">
        <v>907.11</v>
      </c>
      <c r="F10" s="686"/>
      <c r="G10" s="684">
        <v>1535</v>
      </c>
      <c r="H10" s="684"/>
      <c r="I10" s="686">
        <v>1450.3</v>
      </c>
      <c r="J10" s="686"/>
      <c r="K10" s="684">
        <v>1384.77</v>
      </c>
      <c r="L10" s="687"/>
      <c r="M10" s="598"/>
    </row>
    <row r="11" spans="2:13">
      <c r="B11" s="605" t="s">
        <v>531</v>
      </c>
      <c r="C11" s="378"/>
      <c r="D11" s="378"/>
      <c r="E11" s="378"/>
      <c r="F11" s="378"/>
      <c r="G11" s="378"/>
      <c r="H11" s="378"/>
      <c r="I11" s="378"/>
      <c r="J11" s="378"/>
      <c r="K11" s="378"/>
      <c r="L11" s="378"/>
    </row>
    <row r="13" spans="2:13" ht="15" thickBot="1">
      <c r="B13" s="493" t="s">
        <v>532</v>
      </c>
      <c r="C13" s="1151">
        <v>646</v>
      </c>
      <c r="D13" s="1151">
        <v>1480</v>
      </c>
      <c r="E13" s="1151">
        <v>1520</v>
      </c>
      <c r="F13" s="1151"/>
      <c r="G13" s="377" t="s">
        <v>533</v>
      </c>
    </row>
    <row r="14" spans="2:13" ht="15">
      <c r="B14" s="670" t="s">
        <v>41</v>
      </c>
      <c r="C14" s="671">
        <v>2023</v>
      </c>
      <c r="D14" s="671">
        <v>2024</v>
      </c>
      <c r="E14" s="671">
        <v>2025</v>
      </c>
      <c r="F14" s="672" t="s">
        <v>534</v>
      </c>
    </row>
    <row r="15" spans="2:13">
      <c r="B15" s="1124" t="s">
        <v>535</v>
      </c>
      <c r="C15" s="1125">
        <v>461.06</v>
      </c>
      <c r="D15" s="1125">
        <v>461.06</v>
      </c>
      <c r="E15" s="1125">
        <v>461.06</v>
      </c>
      <c r="F15" s="1125">
        <v>461.06</v>
      </c>
      <c r="G15" s="377" t="s">
        <v>536</v>
      </c>
    </row>
    <row r="16" spans="2:13">
      <c r="B16" s="1126" t="s">
        <v>537</v>
      </c>
      <c r="C16" s="1127">
        <v>684.00543740420324</v>
      </c>
      <c r="D16" s="1127">
        <v>1449.633077504531</v>
      </c>
      <c r="E16" s="1127">
        <v>1529.1039269275029</v>
      </c>
      <c r="F16" s="1128">
        <v>1372.1618975745762</v>
      </c>
      <c r="G16" s="377" t="s">
        <v>538</v>
      </c>
    </row>
    <row r="17" spans="2:7">
      <c r="B17" s="673" t="s">
        <v>539</v>
      </c>
      <c r="C17" s="1118">
        <v>3503.51</v>
      </c>
      <c r="D17" s="1118">
        <v>4656.76</v>
      </c>
      <c r="E17" s="1118">
        <v>4032.16</v>
      </c>
      <c r="F17" s="1119">
        <v>954.06</v>
      </c>
    </row>
    <row r="18" spans="2:7">
      <c r="B18" s="673" t="s">
        <v>540</v>
      </c>
      <c r="C18" s="1120">
        <f>C17*C15</f>
        <v>1615328.3206000002</v>
      </c>
      <c r="D18" s="1120">
        <f>D17*D15</f>
        <v>2147045.7656</v>
      </c>
      <c r="E18" s="1120">
        <f>E17*E15</f>
        <v>1859067.6895999999</v>
      </c>
      <c r="F18" s="1121">
        <v>427943.61</v>
      </c>
    </row>
    <row r="19" spans="2:7">
      <c r="B19" s="673" t="s">
        <v>541</v>
      </c>
      <c r="C19" s="1120">
        <f>C17*C16</f>
        <v>2396419.89</v>
      </c>
      <c r="D19" s="1120">
        <f>D17*D16</f>
        <v>6750593.3300000001</v>
      </c>
      <c r="E19" s="1120">
        <f>E17*E16</f>
        <v>6165591.6900000004</v>
      </c>
      <c r="F19" s="1120">
        <f>F17*F16</f>
        <v>1309124.78</v>
      </c>
    </row>
    <row r="20" spans="2:7" ht="15">
      <c r="B20" s="674" t="s">
        <v>542</v>
      </c>
      <c r="C20" s="1122">
        <f>C19-C18</f>
        <v>781091.56939999992</v>
      </c>
      <c r="D20" s="1122">
        <f>D19-D18</f>
        <v>4603547.5644000005</v>
      </c>
      <c r="E20" s="1122">
        <f>E19-E18</f>
        <v>4306524.0004000003</v>
      </c>
      <c r="F20" s="1123">
        <f>F19-F18</f>
        <v>881181.17</v>
      </c>
    </row>
    <row r="21" spans="2:7">
      <c r="B21" s="1131" t="s">
        <v>543</v>
      </c>
      <c r="C21" s="1132"/>
      <c r="D21" s="1132"/>
      <c r="E21" s="1132"/>
      <c r="F21" s="1133"/>
    </row>
    <row r="22" spans="2:7">
      <c r="B22" s="673" t="s">
        <v>544</v>
      </c>
      <c r="C22" s="1120">
        <v>4381207.357790309</v>
      </c>
      <c r="D22" s="1120">
        <v>5869905.4813311091</v>
      </c>
      <c r="E22" s="1120">
        <v>8607151.9191270526</v>
      </c>
      <c r="F22" s="1121">
        <v>3138892.35</v>
      </c>
    </row>
    <row r="23" spans="2:7">
      <c r="B23" s="673" t="s">
        <v>545</v>
      </c>
      <c r="C23" s="1120">
        <v>2396419.89</v>
      </c>
      <c r="D23" s="1120">
        <v>6750593.3300000001</v>
      </c>
      <c r="E23" s="1120">
        <v>6165591.6900000004</v>
      </c>
      <c r="F23" s="1121">
        <v>1309124.78</v>
      </c>
    </row>
    <row r="24" spans="2:7" ht="15" thickBot="1">
      <c r="B24" s="675" t="s">
        <v>546</v>
      </c>
      <c r="C24" s="1129">
        <f>C23+C22</f>
        <v>6777627.2477903087</v>
      </c>
      <c r="D24" s="1129">
        <f t="shared" ref="D24:F24" si="0">D23+D22</f>
        <v>12620498.811331108</v>
      </c>
      <c r="E24" s="1129">
        <f t="shared" si="0"/>
        <v>14772743.609127052</v>
      </c>
      <c r="F24" s="1130">
        <f t="shared" si="0"/>
        <v>4448017.13</v>
      </c>
    </row>
    <row r="25" spans="2:7">
      <c r="B25" s="605" t="s">
        <v>531</v>
      </c>
      <c r="C25" s="492"/>
      <c r="D25" s="492"/>
      <c r="E25" s="492"/>
      <c r="F25" s="492"/>
    </row>
    <row r="27" spans="2:7" ht="15" thickBot="1">
      <c r="B27" s="493" t="s">
        <v>547</v>
      </c>
    </row>
    <row r="28" spans="2:7">
      <c r="B28" s="660"/>
      <c r="C28" s="661">
        <v>2022</v>
      </c>
      <c r="D28" s="661">
        <v>2023</v>
      </c>
      <c r="E28" s="661">
        <v>2024</v>
      </c>
      <c r="F28" s="661">
        <v>2025</v>
      </c>
      <c r="G28" s="662" t="s">
        <v>204</v>
      </c>
    </row>
    <row r="29" spans="2:7">
      <c r="B29" s="663"/>
      <c r="C29" s="606" t="s">
        <v>17</v>
      </c>
      <c r="D29" s="606" t="s">
        <v>17</v>
      </c>
      <c r="E29" s="606" t="s">
        <v>17</v>
      </c>
      <c r="F29" s="606" t="s">
        <v>17</v>
      </c>
      <c r="G29" s="664" t="s">
        <v>17</v>
      </c>
    </row>
    <row r="30" spans="2:7">
      <c r="B30" s="665" t="s">
        <v>548</v>
      </c>
      <c r="C30" s="496">
        <v>0</v>
      </c>
      <c r="D30" s="496">
        <f>'Receipts &amp; Utilisation'!G53</f>
        <v>-647.32940412220614</v>
      </c>
      <c r="E30" s="496">
        <f>'Receipts &amp; Utilisation'!H53</f>
        <v>4402.6132533332948</v>
      </c>
      <c r="F30" s="496">
        <f>'Receipts &amp; Utilisation'!I53</f>
        <v>8098.2577673333453</v>
      </c>
      <c r="G30" s="666">
        <f>SUM(C30:F30)</f>
        <v>11853.541616544433</v>
      </c>
    </row>
    <row r="31" spans="2:7">
      <c r="B31" s="665" t="s">
        <v>549</v>
      </c>
      <c r="C31" s="496"/>
      <c r="D31" s="496"/>
      <c r="E31" s="496"/>
      <c r="F31" s="496"/>
      <c r="G31" s="667"/>
    </row>
    <row r="32" spans="2:7">
      <c r="B32" s="665" t="s">
        <v>550</v>
      </c>
      <c r="C32" s="497">
        <f>(4.5%+7.5%)/2</f>
        <v>0.06</v>
      </c>
      <c r="D32" s="497">
        <f>(7%+12.5%)/2</f>
        <v>9.7500000000000003E-2</v>
      </c>
      <c r="E32" s="497">
        <f>(16.5%+21.5%)/2</f>
        <v>0.19</v>
      </c>
      <c r="F32" s="497">
        <f>(17.5%+23%)/2</f>
        <v>0.20250000000000001</v>
      </c>
      <c r="G32" s="667"/>
    </row>
    <row r="33" spans="2:7">
      <c r="B33" s="665" t="s">
        <v>551</v>
      </c>
      <c r="C33" s="497">
        <f>(11.5%+13.8%)/2</f>
        <v>0.1265</v>
      </c>
      <c r="D33" s="497">
        <f>(13.5%+14.5%)/2</f>
        <v>0.14000000000000001</v>
      </c>
      <c r="E33" s="497">
        <f>(18.5%+21.7%)/2</f>
        <v>0.20100000000000001</v>
      </c>
      <c r="F33" s="497">
        <f>(16.8%+19.5%)/2</f>
        <v>0.18149999999999999</v>
      </c>
      <c r="G33" s="667"/>
    </row>
    <row r="34" spans="2:7">
      <c r="B34" s="665" t="s">
        <v>333</v>
      </c>
      <c r="C34" s="498">
        <f>AVERAGE(C32:C33)</f>
        <v>9.325E-2</v>
      </c>
      <c r="D34" s="498">
        <f>AVERAGE(D32:D33)</f>
        <v>0.11875000000000001</v>
      </c>
      <c r="E34" s="498">
        <f>AVERAGE(E32:E33)</f>
        <v>0.19550000000000001</v>
      </c>
      <c r="F34" s="498">
        <f>AVERAGE(F32:F33)</f>
        <v>0.192</v>
      </c>
      <c r="G34" s="668"/>
    </row>
    <row r="35" spans="2:7">
      <c r="B35" s="665"/>
      <c r="C35" s="498"/>
      <c r="D35" s="498"/>
      <c r="E35" s="498"/>
      <c r="F35" s="498"/>
      <c r="G35" s="668"/>
    </row>
    <row r="36" spans="2:7" ht="15" thickBot="1">
      <c r="B36" s="669" t="s">
        <v>552</v>
      </c>
      <c r="C36" s="1134">
        <v>0</v>
      </c>
      <c r="D36" s="1134">
        <f>(D34-C34)*D30</f>
        <v>-16.506899805116262</v>
      </c>
      <c r="E36" s="1134">
        <f>(E34-C34)*E30</f>
        <v>450.16720515332941</v>
      </c>
      <c r="F36" s="1134">
        <f>(F34-C34)*F30</f>
        <v>799.70295452416792</v>
      </c>
      <c r="G36" s="1135">
        <f>SUM(C36:F36)</f>
        <v>1233.3632598723811</v>
      </c>
    </row>
    <row r="37" spans="2:7">
      <c r="B37" s="499" t="s">
        <v>363</v>
      </c>
      <c r="C37" s="495"/>
      <c r="D37" s="495"/>
      <c r="E37" s="495"/>
      <c r="F37" s="495"/>
      <c r="G37" s="495"/>
    </row>
    <row r="38" spans="2:7">
      <c r="C38" s="495"/>
      <c r="D38" s="495"/>
      <c r="E38" s="495"/>
      <c r="F38" s="495"/>
      <c r="G38" s="495"/>
    </row>
    <row r="39" spans="2:7">
      <c r="C39" s="495"/>
      <c r="D39" s="495"/>
      <c r="E39" s="495"/>
      <c r="F39" s="495"/>
      <c r="G39" s="495"/>
    </row>
    <row r="40" spans="2:7" ht="15.95" thickBot="1">
      <c r="B40" s="287" t="s">
        <v>553</v>
      </c>
      <c r="C40" s="292"/>
      <c r="D40" s="292"/>
      <c r="E40" s="292"/>
      <c r="F40" s="292"/>
      <c r="G40" s="281"/>
    </row>
    <row r="41" spans="2:7" ht="15">
      <c r="B41" s="303" t="s">
        <v>554</v>
      </c>
      <c r="C41" s="304" t="s">
        <v>555</v>
      </c>
      <c r="D41" s="304" t="s">
        <v>556</v>
      </c>
      <c r="E41" s="305" t="s">
        <v>557</v>
      </c>
      <c r="F41" s="281"/>
      <c r="G41" s="281"/>
    </row>
    <row r="42" spans="2:7" ht="15">
      <c r="B42" s="321"/>
      <c r="C42" s="322" t="s">
        <v>17</v>
      </c>
      <c r="D42" s="322" t="s">
        <v>17</v>
      </c>
      <c r="E42" s="323" t="s">
        <v>17</v>
      </c>
      <c r="F42" s="281"/>
      <c r="G42" s="281"/>
    </row>
    <row r="43" spans="2:7" ht="15">
      <c r="B43" s="306">
        <v>2018</v>
      </c>
      <c r="C43" s="301">
        <v>5038.3329999999996</v>
      </c>
      <c r="D43" s="302">
        <f>C43</f>
        <v>5038.3329999999996</v>
      </c>
      <c r="E43" s="307"/>
      <c r="F43" s="281"/>
      <c r="G43" s="281"/>
    </row>
    <row r="44" spans="2:7" ht="15">
      <c r="B44" s="306">
        <v>2019</v>
      </c>
      <c r="C44" s="301">
        <v>8416.2610000000004</v>
      </c>
      <c r="D44" s="302">
        <f t="shared" ref="D44:D50" si="1">C44-C43</f>
        <v>3377.9280000000008</v>
      </c>
      <c r="E44" s="307"/>
      <c r="F44" s="281"/>
      <c r="G44" s="281"/>
    </row>
    <row r="45" spans="2:7" ht="15">
      <c r="B45" s="306">
        <v>2020</v>
      </c>
      <c r="C45" s="301">
        <v>12809.144</v>
      </c>
      <c r="D45" s="302">
        <f t="shared" si="1"/>
        <v>4392.8829999999998</v>
      </c>
      <c r="E45" s="307"/>
      <c r="F45" s="281"/>
      <c r="G45" s="281"/>
    </row>
    <row r="46" spans="2:7" ht="15">
      <c r="B46" s="306">
        <v>2021</v>
      </c>
      <c r="C46" s="301">
        <v>17106.485000000001</v>
      </c>
      <c r="D46" s="302">
        <f t="shared" si="1"/>
        <v>4297.3410000000003</v>
      </c>
      <c r="E46" s="307"/>
      <c r="F46" s="281"/>
      <c r="G46" s="281"/>
    </row>
    <row r="47" spans="2:7" ht="15.95" thickBot="1">
      <c r="B47" s="308">
        <v>2022</v>
      </c>
      <c r="C47" s="309">
        <v>23175.185000000001</v>
      </c>
      <c r="D47" s="310">
        <f t="shared" si="1"/>
        <v>6068.7000000000007</v>
      </c>
      <c r="E47" s="311">
        <f>AVERAGE(D43:D47)</f>
        <v>4635.0370000000003</v>
      </c>
      <c r="F47" s="281"/>
      <c r="G47" s="281"/>
    </row>
    <row r="48" spans="2:7" ht="15">
      <c r="B48" s="312">
        <v>2023</v>
      </c>
      <c r="C48" s="313">
        <v>7862.3220000000001</v>
      </c>
      <c r="D48" s="314">
        <f t="shared" si="1"/>
        <v>-15312.863000000001</v>
      </c>
      <c r="E48" s="315"/>
      <c r="F48" s="281"/>
      <c r="G48" s="281"/>
    </row>
    <row r="49" spans="2:7" ht="15">
      <c r="B49" s="316">
        <v>2024</v>
      </c>
      <c r="C49" s="299">
        <v>3156.654</v>
      </c>
      <c r="D49" s="300">
        <f t="shared" si="1"/>
        <v>-4705.6679999999997</v>
      </c>
      <c r="E49" s="317"/>
      <c r="F49" s="281"/>
      <c r="G49" s="281"/>
    </row>
    <row r="50" spans="2:7" ht="15.95" thickBot="1">
      <c r="B50" s="318">
        <v>2025</v>
      </c>
      <c r="C50" s="319">
        <v>2896.8159999999998</v>
      </c>
      <c r="D50" s="320">
        <f t="shared" si="1"/>
        <v>-259.83800000000019</v>
      </c>
      <c r="E50" s="324">
        <f>AVERAGE(D48:D50)</f>
        <v>-6759.4563333333344</v>
      </c>
      <c r="F50" s="281" t="s">
        <v>558</v>
      </c>
      <c r="G50" s="281"/>
    </row>
    <row r="51" spans="2:7" ht="15">
      <c r="B51" s="286"/>
      <c r="C51" s="281"/>
      <c r="D51" s="281"/>
      <c r="E51" s="281"/>
      <c r="F51" s="281"/>
      <c r="G51" s="281"/>
    </row>
    <row r="52" spans="2:7" ht="15.95" thickBot="1">
      <c r="B52" s="863" t="s">
        <v>559</v>
      </c>
      <c r="C52" s="281"/>
      <c r="D52" s="281"/>
      <c r="E52" s="281"/>
      <c r="F52" s="281"/>
      <c r="G52" s="281"/>
    </row>
    <row r="53" spans="2:7" s="493" customFormat="1" ht="15">
      <c r="B53" s="869"/>
      <c r="C53" s="870">
        <v>2020</v>
      </c>
      <c r="D53" s="870">
        <v>2021</v>
      </c>
      <c r="E53" s="870">
        <v>2022</v>
      </c>
      <c r="F53" s="871" t="s">
        <v>333</v>
      </c>
      <c r="G53" s="287"/>
    </row>
    <row r="54" spans="2:7" ht="15">
      <c r="B54" s="872"/>
      <c r="C54" s="697" t="s">
        <v>17</v>
      </c>
      <c r="D54" s="697" t="s">
        <v>17</v>
      </c>
      <c r="E54" s="697" t="s">
        <v>17</v>
      </c>
      <c r="F54" s="873" t="s">
        <v>17</v>
      </c>
      <c r="G54" s="502"/>
    </row>
    <row r="55" spans="2:7" ht="15">
      <c r="B55" s="864" t="s">
        <v>560</v>
      </c>
      <c r="C55" s="572">
        <f>H77/1000</f>
        <v>5434.4374299999999</v>
      </c>
      <c r="D55" s="572">
        <f>J77/1000</f>
        <v>6368.2844999999998</v>
      </c>
      <c r="E55" s="572">
        <f>L77/1000</f>
        <v>5814.8281199999974</v>
      </c>
      <c r="F55" s="865">
        <f>AVERAGE(C55:E55)</f>
        <v>5872.5166833333324</v>
      </c>
      <c r="G55" s="502" t="s">
        <v>561</v>
      </c>
    </row>
    <row r="56" spans="2:7" ht="15">
      <c r="B56" s="864" t="s">
        <v>562</v>
      </c>
      <c r="C56" s="572">
        <f>D45</f>
        <v>4392.8829999999998</v>
      </c>
      <c r="D56" s="572">
        <f>D46</f>
        <v>4297.3410000000003</v>
      </c>
      <c r="E56" s="572">
        <f>D47</f>
        <v>6068.7000000000007</v>
      </c>
      <c r="F56" s="865">
        <f>AVERAGE(C56:E56)</f>
        <v>4919.6413333333339</v>
      </c>
      <c r="G56" s="502"/>
    </row>
    <row r="57" spans="2:7" ht="15.95" thickBot="1">
      <c r="B57" s="866"/>
      <c r="C57" s="867">
        <f>SUM(C55:C56)</f>
        <v>9827.3204299999998</v>
      </c>
      <c r="D57" s="867">
        <f>SUM(D55:D56)</f>
        <v>10665.6255</v>
      </c>
      <c r="E57" s="867">
        <f>SUM(E55:E56)</f>
        <v>11883.528119999999</v>
      </c>
      <c r="F57" s="868">
        <f>SUM(F55:F56)</f>
        <v>10792.158016666666</v>
      </c>
      <c r="G57" s="502"/>
    </row>
    <row r="58" spans="2:7" ht="15">
      <c r="B58" s="502"/>
      <c r="C58" s="502"/>
      <c r="D58" s="502"/>
      <c r="E58" s="502"/>
      <c r="F58" s="502"/>
      <c r="G58" s="502"/>
    </row>
    <row r="60" spans="2:7" ht="15" customHeight="1" thickBot="1">
      <c r="B60" s="1150" t="s">
        <v>563</v>
      </c>
      <c r="C60" s="1150"/>
      <c r="D60" s="1150"/>
      <c r="E60" s="1150"/>
    </row>
    <row r="61" spans="2:7" ht="75">
      <c r="B61" s="947" t="s">
        <v>554</v>
      </c>
      <c r="C61" s="948" t="s">
        <v>564</v>
      </c>
      <c r="D61" s="948" t="s">
        <v>565</v>
      </c>
      <c r="E61" s="949" t="s">
        <v>566</v>
      </c>
    </row>
    <row r="62" spans="2:7">
      <c r="B62" s="950">
        <v>2015</v>
      </c>
      <c r="C62" s="946">
        <v>1616.01</v>
      </c>
      <c r="D62" s="946">
        <v>1457.12</v>
      </c>
      <c r="E62" s="951">
        <f>D62/C62</f>
        <v>0.90167758862878322</v>
      </c>
    </row>
    <row r="63" spans="2:7">
      <c r="B63" s="950">
        <v>2016</v>
      </c>
      <c r="C63" s="946">
        <v>2204.7399999999998</v>
      </c>
      <c r="D63" s="946">
        <v>1818.68</v>
      </c>
      <c r="E63" s="951">
        <f t="shared" ref="E63:E73" si="2">D63/C63</f>
        <v>0.82489545252501439</v>
      </c>
    </row>
    <row r="64" spans="2:7">
      <c r="B64" s="950">
        <v>2017</v>
      </c>
      <c r="C64" s="946">
        <v>2356.2800000000002</v>
      </c>
      <c r="D64" s="946">
        <v>2321.77</v>
      </c>
      <c r="E64" s="951">
        <f t="shared" si="2"/>
        <v>0.98535403262770116</v>
      </c>
    </row>
    <row r="65" spans="2:19">
      <c r="B65" s="950">
        <v>2018</v>
      </c>
      <c r="C65" s="946">
        <v>1954.46</v>
      </c>
      <c r="D65" s="946">
        <v>1643.46</v>
      </c>
      <c r="E65" s="951">
        <f t="shared" si="2"/>
        <v>0.84087676391432931</v>
      </c>
    </row>
    <row r="66" spans="2:19">
      <c r="B66" s="950">
        <v>2019</v>
      </c>
      <c r="C66" s="946">
        <v>1918.48</v>
      </c>
      <c r="D66" s="946">
        <v>1605.64</v>
      </c>
      <c r="E66" s="951">
        <f t="shared" si="2"/>
        <v>0.83693340561277685</v>
      </c>
    </row>
    <row r="67" spans="2:19">
      <c r="B67" s="950">
        <v>2020</v>
      </c>
      <c r="C67" s="946">
        <v>4608.24</v>
      </c>
      <c r="D67" s="946">
        <v>4198.57</v>
      </c>
      <c r="E67" s="951">
        <f t="shared" si="2"/>
        <v>0.91110055031855974</v>
      </c>
    </row>
    <row r="68" spans="2:19">
      <c r="B68" s="950">
        <v>2021</v>
      </c>
      <c r="C68" s="946">
        <v>5739.66</v>
      </c>
      <c r="D68" s="946">
        <v>5488.88</v>
      </c>
      <c r="E68" s="951">
        <f t="shared" si="2"/>
        <v>0.95630751647310119</v>
      </c>
    </row>
    <row r="69" spans="2:19">
      <c r="B69" s="950">
        <v>2022</v>
      </c>
      <c r="C69" s="946">
        <v>6386.07</v>
      </c>
      <c r="D69" s="946">
        <v>5139.5200000000004</v>
      </c>
      <c r="E69" s="951">
        <f t="shared" si="2"/>
        <v>0.80480170120277428</v>
      </c>
    </row>
    <row r="70" spans="2:19">
      <c r="B70" s="950">
        <v>2023</v>
      </c>
      <c r="C70" s="946">
        <v>10782.08</v>
      </c>
      <c r="D70" s="946">
        <v>8804.49</v>
      </c>
      <c r="E70" s="951">
        <f t="shared" si="2"/>
        <v>0.81658548257850061</v>
      </c>
    </row>
    <row r="71" spans="2:19">
      <c r="B71" s="950">
        <v>2024</v>
      </c>
      <c r="C71" s="946">
        <v>9178.93</v>
      </c>
      <c r="D71" s="946">
        <v>7828.53</v>
      </c>
      <c r="E71" s="951">
        <f t="shared" si="2"/>
        <v>0.85288045556508219</v>
      </c>
    </row>
    <row r="72" spans="2:19">
      <c r="B72" s="950">
        <v>2025</v>
      </c>
      <c r="C72" s="946">
        <v>14100</v>
      </c>
      <c r="D72" s="946">
        <v>10423.81</v>
      </c>
      <c r="E72" s="951">
        <f t="shared" si="2"/>
        <v>0.73927730496453892</v>
      </c>
    </row>
    <row r="73" spans="2:19" ht="15.95" thickBot="1">
      <c r="B73" s="952" t="s">
        <v>567</v>
      </c>
      <c r="C73" s="953">
        <v>31456.63</v>
      </c>
      <c r="D73" s="953">
        <v>29218.560000000001</v>
      </c>
      <c r="E73" s="954">
        <f t="shared" si="2"/>
        <v>0.92885220063306206</v>
      </c>
    </row>
    <row r="77" spans="2:19" ht="15" thickBot="1">
      <c r="B77" s="377" t="s">
        <v>568</v>
      </c>
      <c r="F77" s="1170">
        <f>(F84-F83)-(D84-D83)</f>
        <v>2761430.7380029969</v>
      </c>
      <c r="H77" s="1170">
        <f>(H84-H83)-(F84-F83)</f>
        <v>5434437.4299999997</v>
      </c>
      <c r="J77" s="1170">
        <f>(J84-J83)-(H84-H83)</f>
        <v>6368284.5</v>
      </c>
      <c r="L77" s="1170">
        <f>(L84-L83)-(J84-J83)</f>
        <v>5814828.1199999973</v>
      </c>
      <c r="N77" s="1170">
        <f>(N84-N83)-(L84-L83)</f>
        <v>50565244.839999996</v>
      </c>
      <c r="P77" s="1170">
        <f>(P84-P83)-(N84-N83)</f>
        <v>49219532.300000012</v>
      </c>
      <c r="R77" s="1170">
        <f>(R84-R83)-(P84-P83)</f>
        <v>14218206.729999989</v>
      </c>
    </row>
    <row r="78" spans="2:19">
      <c r="B78" s="1153"/>
      <c r="C78" s="1223" t="s">
        <v>569</v>
      </c>
      <c r="D78" s="1224"/>
      <c r="E78" s="1223" t="s">
        <v>570</v>
      </c>
      <c r="F78" s="1224"/>
      <c r="G78" s="1223" t="s">
        <v>571</v>
      </c>
      <c r="H78" s="1224"/>
      <c r="I78" s="1223" t="s">
        <v>572</v>
      </c>
      <c r="J78" s="1224"/>
      <c r="K78" s="1223" t="s">
        <v>573</v>
      </c>
      <c r="L78" s="1224"/>
      <c r="M78" s="1223" t="s">
        <v>574</v>
      </c>
      <c r="N78" s="1224"/>
      <c r="O78" s="1223" t="s">
        <v>575</v>
      </c>
      <c r="P78" s="1224"/>
      <c r="Q78" s="1223" t="s">
        <v>576</v>
      </c>
      <c r="R78" s="1224"/>
      <c r="S78" s="1159"/>
    </row>
    <row r="79" spans="2:19" ht="42">
      <c r="B79" s="1154"/>
      <c r="C79" s="1155" t="s">
        <v>577</v>
      </c>
      <c r="D79" s="1155" t="s">
        <v>578</v>
      </c>
      <c r="E79" s="1155" t="s">
        <v>577</v>
      </c>
      <c r="F79" s="1155" t="s">
        <v>578</v>
      </c>
      <c r="G79" s="1155" t="s">
        <v>577</v>
      </c>
      <c r="H79" s="1155" t="s">
        <v>578</v>
      </c>
      <c r="I79" s="1155" t="s">
        <v>577</v>
      </c>
      <c r="J79" s="1155" t="s">
        <v>578</v>
      </c>
      <c r="K79" s="1155" t="s">
        <v>577</v>
      </c>
      <c r="L79" s="1155" t="s">
        <v>578</v>
      </c>
      <c r="M79" s="1155" t="s">
        <v>577</v>
      </c>
      <c r="N79" s="1155" t="s">
        <v>578</v>
      </c>
      <c r="O79" s="1155" t="s">
        <v>577</v>
      </c>
      <c r="P79" s="1155" t="s">
        <v>578</v>
      </c>
      <c r="Q79" s="1155" t="s">
        <v>577</v>
      </c>
      <c r="R79" s="1156" t="s">
        <v>578</v>
      </c>
      <c r="S79" s="1160"/>
    </row>
    <row r="80" spans="2:19">
      <c r="B80" s="1154" t="s">
        <v>525</v>
      </c>
      <c r="C80" s="1165">
        <v>25274.364800000003</v>
      </c>
      <c r="D80" s="1165">
        <v>7759229.9900000002</v>
      </c>
      <c r="E80" s="1165">
        <v>27676.14</v>
      </c>
      <c r="F80" s="1165">
        <v>9022421.6400000006</v>
      </c>
      <c r="G80" s="1165">
        <v>33348.083325300002</v>
      </c>
      <c r="H80" s="1165">
        <v>12705618.48</v>
      </c>
      <c r="I80" s="1165">
        <v>38391.32</v>
      </c>
      <c r="J80" s="1165">
        <v>15855231.25</v>
      </c>
      <c r="K80" s="1165">
        <v>41694.910000000003</v>
      </c>
      <c r="L80" s="1165">
        <v>18702251.879999999</v>
      </c>
      <c r="M80" s="1165">
        <v>42495.16</v>
      </c>
      <c r="N80" s="1165">
        <v>38219849.439999998</v>
      </c>
      <c r="O80" s="1165">
        <v>45780.45</v>
      </c>
      <c r="P80" s="1165">
        <v>70287530.620000005</v>
      </c>
      <c r="Q80" s="1165">
        <v>51856.03</v>
      </c>
      <c r="R80" s="1166">
        <v>74426735.239999995</v>
      </c>
      <c r="S80" s="1161"/>
    </row>
    <row r="81" spans="2:19">
      <c r="B81" s="1154" t="s">
        <v>579</v>
      </c>
      <c r="C81" s="1165">
        <f>C83+C82</f>
        <v>54162.352026048859</v>
      </c>
      <c r="D81" s="1165">
        <f t="shared" ref="D81:R81" si="3">D83+D82</f>
        <v>16627841.751997001</v>
      </c>
      <c r="E81" s="1165">
        <f t="shared" si="3"/>
        <v>56377.18</v>
      </c>
      <c r="F81" s="1165">
        <f t="shared" si="3"/>
        <v>18378959.649999999</v>
      </c>
      <c r="G81" s="1165">
        <f t="shared" si="3"/>
        <v>53044.460000000006</v>
      </c>
      <c r="H81" s="1165">
        <f t="shared" si="3"/>
        <v>20209896.370000001</v>
      </c>
      <c r="I81" s="1165">
        <f t="shared" si="3"/>
        <v>57388.32</v>
      </c>
      <c r="J81" s="1165">
        <f t="shared" si="3"/>
        <v>23700801.25</v>
      </c>
      <c r="K81" s="1165">
        <f t="shared" si="3"/>
        <v>61415.93</v>
      </c>
      <c r="L81" s="1165">
        <f t="shared" si="3"/>
        <v>27548116.060000002</v>
      </c>
      <c r="M81" s="1165">
        <f t="shared" si="3"/>
        <v>65734.180000000008</v>
      </c>
      <c r="N81" s="1165">
        <f t="shared" si="3"/>
        <v>59120858.810000002</v>
      </c>
      <c r="O81" s="1165">
        <f t="shared" si="3"/>
        <v>48444.649999999994</v>
      </c>
      <c r="P81" s="1165">
        <f t="shared" si="3"/>
        <v>74377920.319999993</v>
      </c>
      <c r="Q81" s="1165">
        <f t="shared" si="3"/>
        <v>59117.86</v>
      </c>
      <c r="R81" s="1166">
        <f t="shared" si="3"/>
        <v>84849333.939999998</v>
      </c>
      <c r="S81" s="1161"/>
    </row>
    <row r="82" spans="2:19">
      <c r="B82" s="1157" t="s">
        <v>527</v>
      </c>
      <c r="C82" s="1167">
        <v>41610.442026048862</v>
      </c>
      <c r="D82" s="1165">
        <v>12774405.701997001</v>
      </c>
      <c r="E82" s="1165">
        <v>43781.120000000003</v>
      </c>
      <c r="F82" s="1165">
        <v>14272644.789999999</v>
      </c>
      <c r="G82" s="1165">
        <v>42057.55</v>
      </c>
      <c r="H82" s="1165">
        <v>16023885.380000001</v>
      </c>
      <c r="I82" s="1165">
        <v>46593.279999999999</v>
      </c>
      <c r="J82" s="1165">
        <v>19242557.109999999</v>
      </c>
      <c r="K82" s="1165">
        <v>49515.92</v>
      </c>
      <c r="L82" s="1165">
        <v>22210364.600000001</v>
      </c>
      <c r="M82" s="1165">
        <v>59215.51</v>
      </c>
      <c r="N82" s="1165">
        <v>53258011.880000003</v>
      </c>
      <c r="O82" s="1165">
        <v>45860.13</v>
      </c>
      <c r="P82" s="1165">
        <v>70409863</v>
      </c>
      <c r="Q82" s="1165">
        <v>56079.75</v>
      </c>
      <c r="R82" s="1166">
        <v>80488865.109999999</v>
      </c>
      <c r="S82" s="1161"/>
    </row>
    <row r="83" spans="2:19">
      <c r="B83" s="1157" t="s">
        <v>528</v>
      </c>
      <c r="C83" s="1167">
        <v>12551.91</v>
      </c>
      <c r="D83" s="1167">
        <v>3853436.05</v>
      </c>
      <c r="E83" s="1165">
        <v>12596.06</v>
      </c>
      <c r="F83" s="1165">
        <v>4106314.86</v>
      </c>
      <c r="G83" s="1165">
        <v>10986.91</v>
      </c>
      <c r="H83" s="1165">
        <v>4186010.99</v>
      </c>
      <c r="I83" s="1165">
        <v>10795.04</v>
      </c>
      <c r="J83" s="1165">
        <v>4458244.1399999997</v>
      </c>
      <c r="K83" s="1165">
        <v>11900.01</v>
      </c>
      <c r="L83" s="1165">
        <v>5337751.46</v>
      </c>
      <c r="M83" s="1165">
        <v>6518.67</v>
      </c>
      <c r="N83" s="1165">
        <v>5862846.9299999997</v>
      </c>
      <c r="O83" s="1165">
        <v>2584.52</v>
      </c>
      <c r="P83" s="1165">
        <v>3968057.32</v>
      </c>
      <c r="Q83" s="1165">
        <v>3038.11</v>
      </c>
      <c r="R83" s="1166">
        <v>4360468.83</v>
      </c>
      <c r="S83" s="1161"/>
    </row>
    <row r="84" spans="2:19">
      <c r="B84" s="1154" t="s">
        <v>529</v>
      </c>
      <c r="C84" s="1168">
        <f>C80+C81</f>
        <v>79436.716826048854</v>
      </c>
      <c r="D84" s="1168">
        <f>D80+D81</f>
        <v>24387071.741997004</v>
      </c>
      <c r="E84" s="1168">
        <f t="shared" ref="E84:R84" si="4">E80+E81</f>
        <v>84053.32</v>
      </c>
      <c r="F84" s="1168">
        <f t="shared" si="4"/>
        <v>27401381.289999999</v>
      </c>
      <c r="G84" s="1168">
        <f t="shared" si="4"/>
        <v>86392.543325300008</v>
      </c>
      <c r="H84" s="1168">
        <f t="shared" si="4"/>
        <v>32915514.850000001</v>
      </c>
      <c r="I84" s="1168">
        <f t="shared" si="4"/>
        <v>95779.64</v>
      </c>
      <c r="J84" s="1168">
        <f>J80+J81</f>
        <v>39556032.5</v>
      </c>
      <c r="K84" s="1168">
        <f t="shared" ref="K84:L84" si="5">K80+K81</f>
        <v>103110.84</v>
      </c>
      <c r="L84" s="1168">
        <f t="shared" si="5"/>
        <v>46250367.939999998</v>
      </c>
      <c r="M84" s="1168">
        <f t="shared" si="4"/>
        <v>108229.34000000001</v>
      </c>
      <c r="N84" s="1168">
        <f t="shared" si="4"/>
        <v>97340708.25</v>
      </c>
      <c r="O84" s="1168">
        <f t="shared" si="4"/>
        <v>94225.099999999991</v>
      </c>
      <c r="P84" s="1168">
        <f t="shared" si="4"/>
        <v>144665450.94</v>
      </c>
      <c r="Q84" s="1168">
        <f t="shared" si="4"/>
        <v>110973.89</v>
      </c>
      <c r="R84" s="1169">
        <f t="shared" si="4"/>
        <v>159276069.18000001</v>
      </c>
      <c r="S84" s="231"/>
    </row>
    <row r="85" spans="2:19">
      <c r="B85" s="1158" t="s">
        <v>580</v>
      </c>
      <c r="C85" s="1225" t="s">
        <v>581</v>
      </c>
      <c r="D85" s="1225"/>
      <c r="E85" s="1225" t="s">
        <v>582</v>
      </c>
      <c r="F85" s="1225"/>
      <c r="G85" s="1225" t="s">
        <v>583</v>
      </c>
      <c r="H85" s="1225"/>
      <c r="I85" s="1225" t="s">
        <v>584</v>
      </c>
      <c r="J85" s="1225"/>
      <c r="K85" s="1225" t="s">
        <v>585</v>
      </c>
      <c r="L85" s="1225"/>
      <c r="M85" s="1225" t="s">
        <v>586</v>
      </c>
      <c r="N85" s="1225"/>
      <c r="O85" s="1226" t="s">
        <v>587</v>
      </c>
      <c r="P85" s="1226"/>
      <c r="Q85" s="1226" t="s">
        <v>588</v>
      </c>
      <c r="R85" s="1227"/>
      <c r="S85" s="1159"/>
    </row>
    <row r="86" spans="2:19" ht="239.1" customHeight="1" thickBot="1">
      <c r="B86" s="1162"/>
      <c r="C86" s="1163"/>
      <c r="D86" s="1164"/>
      <c r="E86" s="1228" t="s">
        <v>589</v>
      </c>
      <c r="F86" s="1229"/>
      <c r="G86" s="1228" t="s">
        <v>590</v>
      </c>
      <c r="H86" s="1229"/>
      <c r="I86" s="1228" t="s">
        <v>591</v>
      </c>
      <c r="J86" s="1229"/>
      <c r="K86" s="1228" t="s">
        <v>592</v>
      </c>
      <c r="L86" s="1229"/>
      <c r="M86" s="1228" t="s">
        <v>593</v>
      </c>
      <c r="N86" s="1229"/>
      <c r="O86" s="1228" t="s">
        <v>594</v>
      </c>
      <c r="P86" s="1229"/>
      <c r="Q86" s="1228" t="s">
        <v>595</v>
      </c>
      <c r="R86" s="1230"/>
      <c r="S86" s="98"/>
    </row>
  </sheetData>
  <mergeCells count="28">
    <mergeCell ref="O86:P86"/>
    <mergeCell ref="Q86:R86"/>
    <mergeCell ref="E86:F86"/>
    <mergeCell ref="G86:H86"/>
    <mergeCell ref="I86:J86"/>
    <mergeCell ref="K86:L86"/>
    <mergeCell ref="M86:N86"/>
    <mergeCell ref="M78:N78"/>
    <mergeCell ref="O78:P78"/>
    <mergeCell ref="Q78:R78"/>
    <mergeCell ref="C85:D85"/>
    <mergeCell ref="E85:F85"/>
    <mergeCell ref="G85:H85"/>
    <mergeCell ref="I85:J85"/>
    <mergeCell ref="K85:L85"/>
    <mergeCell ref="M85:N85"/>
    <mergeCell ref="O85:P85"/>
    <mergeCell ref="Q85:R85"/>
    <mergeCell ref="C78:D78"/>
    <mergeCell ref="E78:F78"/>
    <mergeCell ref="G78:H78"/>
    <mergeCell ref="I78:J78"/>
    <mergeCell ref="K78:L78"/>
    <mergeCell ref="K3:L3"/>
    <mergeCell ref="C3:D3"/>
    <mergeCell ref="E3:F3"/>
    <mergeCell ref="G3:H3"/>
    <mergeCell ref="I3:J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AC1D2-1FB7-3445-86B5-C69461F80FD1}">
  <sheetPr>
    <tabColor theme="7"/>
  </sheetPr>
  <dimension ref="A2:H33"/>
  <sheetViews>
    <sheetView topLeftCell="A26" zoomScale="120" zoomScaleNormal="120" workbookViewId="0">
      <selection activeCell="B16" sqref="B16"/>
    </sheetView>
  </sheetViews>
  <sheetFormatPr defaultColWidth="8.7109375" defaultRowHeight="15"/>
  <cols>
    <col min="1" max="1" width="4.42578125" style="281" customWidth="1"/>
    <col min="2" max="2" width="18.85546875" style="281" bestFit="1" customWidth="1"/>
    <col min="3" max="3" width="20.85546875" style="281" bestFit="1" customWidth="1"/>
    <col min="4" max="4" width="19.140625" style="281" customWidth="1"/>
    <col min="5" max="5" width="13.28515625" style="281" customWidth="1"/>
    <col min="6" max="6" width="12.42578125" style="281" customWidth="1"/>
    <col min="7" max="7" width="13" style="281" customWidth="1"/>
    <col min="8" max="16384" width="8.7109375" style="281"/>
  </cols>
  <sheetData>
    <row r="2" spans="1:7">
      <c r="B2" s="287" t="s">
        <v>596</v>
      </c>
      <c r="G2" s="284"/>
    </row>
    <row r="3" spans="1:7">
      <c r="G3" s="284"/>
    </row>
    <row r="4" spans="1:7">
      <c r="B4" s="287" t="s">
        <v>597</v>
      </c>
      <c r="G4" s="284"/>
    </row>
    <row r="5" spans="1:7">
      <c r="B5" s="327" t="s">
        <v>554</v>
      </c>
      <c r="C5" s="325" t="s">
        <v>598</v>
      </c>
      <c r="D5" s="326" t="s">
        <v>599</v>
      </c>
      <c r="G5" s="284"/>
    </row>
    <row r="6" spans="1:7">
      <c r="B6" s="328"/>
      <c r="C6" s="298" t="s">
        <v>17</v>
      </c>
      <c r="D6" s="298" t="s">
        <v>17</v>
      </c>
      <c r="G6" s="284"/>
    </row>
    <row r="7" spans="1:7">
      <c r="B7" s="329">
        <v>2023</v>
      </c>
      <c r="C7" s="1136">
        <f>'Wage Adjustment'!M16/1000000000</f>
        <v>3641.3350246988794</v>
      </c>
      <c r="D7" s="1137">
        <v>0</v>
      </c>
      <c r="E7" s="281" t="s">
        <v>600</v>
      </c>
      <c r="G7" s="284"/>
    </row>
    <row r="8" spans="1:7">
      <c r="B8" s="329">
        <v>2024</v>
      </c>
      <c r="C8" s="1136">
        <f>'Wage Adjustment'!R24/1000000000</f>
        <v>6938.5660016535594</v>
      </c>
      <c r="D8" s="1138">
        <f>C8-C7</f>
        <v>3297.23097695468</v>
      </c>
      <c r="G8" s="284"/>
    </row>
    <row r="9" spans="1:7">
      <c r="B9" s="329">
        <v>2025</v>
      </c>
      <c r="C9" s="1136">
        <f>'Wage Adjustment'!P33/1000000000</f>
        <v>9731.0019220358354</v>
      </c>
      <c r="D9" s="1138">
        <f>C9-C7</f>
        <v>6089.666897336956</v>
      </c>
    </row>
    <row r="10" spans="1:7">
      <c r="A10" s="287"/>
      <c r="B10" s="329"/>
      <c r="C10" s="1139">
        <f>SUM(C7:C9)</f>
        <v>20310.902948388277</v>
      </c>
      <c r="D10" s="1139">
        <f>SUM(D7:D9)</f>
        <v>9386.897874291637</v>
      </c>
      <c r="F10" s="297"/>
    </row>
    <row r="11" spans="1:7">
      <c r="B11" s="286"/>
    </row>
    <row r="12" spans="1:7" ht="15.95" thickBot="1">
      <c r="B12" s="287" t="s">
        <v>601</v>
      </c>
      <c r="C12"/>
      <c r="D12"/>
      <c r="E12"/>
    </row>
    <row r="13" spans="1:7">
      <c r="B13" s="692" t="s">
        <v>602</v>
      </c>
      <c r="C13" s="693"/>
      <c r="D13" s="688">
        <v>2023</v>
      </c>
      <c r="E13" s="688">
        <v>2024</v>
      </c>
      <c r="F13" s="688">
        <v>2025</v>
      </c>
      <c r="G13" s="689" t="s">
        <v>204</v>
      </c>
    </row>
    <row r="14" spans="1:7">
      <c r="B14" s="694"/>
      <c r="C14" s="280"/>
      <c r="D14" s="501" t="s">
        <v>17</v>
      </c>
      <c r="E14" s="501" t="s">
        <v>17</v>
      </c>
      <c r="F14" s="501" t="s">
        <v>17</v>
      </c>
      <c r="G14" s="691" t="s">
        <v>17</v>
      </c>
    </row>
    <row r="15" spans="1:7">
      <c r="B15" s="694" t="s">
        <v>603</v>
      </c>
      <c r="C15" s="280"/>
      <c r="D15" s="500">
        <v>0</v>
      </c>
      <c r="E15" s="500">
        <v>143.80000000000001</v>
      </c>
      <c r="F15" s="1140">
        <v>80</v>
      </c>
      <c r="G15" s="1141">
        <f>SUM(E15:F15)</f>
        <v>223.8</v>
      </c>
    </row>
    <row r="16" spans="1:7">
      <c r="B16" s="694" t="s">
        <v>604</v>
      </c>
      <c r="C16" s="280"/>
      <c r="D16" s="500">
        <v>0</v>
      </c>
      <c r="E16" s="500">
        <v>0</v>
      </c>
      <c r="F16" s="1140">
        <v>0</v>
      </c>
      <c r="G16" s="1141">
        <f>SUM(E16:F16)</f>
        <v>0</v>
      </c>
    </row>
    <row r="17" spans="2:8">
      <c r="B17" s="694" t="s">
        <v>605</v>
      </c>
      <c r="C17" s="280"/>
      <c r="D17" s="500">
        <v>0</v>
      </c>
      <c r="E17" s="500">
        <v>50</v>
      </c>
      <c r="F17" s="1140">
        <v>0</v>
      </c>
      <c r="G17" s="1141">
        <f>SUM(E17:F17)</f>
        <v>50</v>
      </c>
    </row>
    <row r="18" spans="2:8">
      <c r="B18" s="694" t="s">
        <v>606</v>
      </c>
      <c r="C18" s="280"/>
      <c r="D18" s="500">
        <v>0</v>
      </c>
      <c r="E18" s="500">
        <v>0</v>
      </c>
      <c r="F18" s="1140">
        <v>150</v>
      </c>
      <c r="G18" s="1141">
        <f>SUM(E18:F18)</f>
        <v>150</v>
      </c>
    </row>
    <row r="19" spans="2:8" ht="15.95" thickBot="1">
      <c r="B19" s="695" t="s">
        <v>204</v>
      </c>
      <c r="C19" s="696"/>
      <c r="D19" s="1142">
        <v>0</v>
      </c>
      <c r="E19" s="1142">
        <v>193.8</v>
      </c>
      <c r="F19" s="1143">
        <v>230</v>
      </c>
      <c r="G19" s="1144">
        <f>SUM(E19:F19)</f>
        <v>423.8</v>
      </c>
    </row>
    <row r="21" spans="2:8" ht="15.95" thickBot="1">
      <c r="B21" s="287" t="s">
        <v>607</v>
      </c>
    </row>
    <row r="22" spans="2:8">
      <c r="B22" s="884"/>
      <c r="C22" s="891">
        <v>2022</v>
      </c>
      <c r="D22" s="891">
        <v>2023</v>
      </c>
      <c r="E22" s="891">
        <v>2024</v>
      </c>
      <c r="F22" s="891">
        <v>2025</v>
      </c>
      <c r="G22" s="892" t="s">
        <v>204</v>
      </c>
    </row>
    <row r="23" spans="2:8">
      <c r="B23" s="885"/>
      <c r="C23" s="886"/>
      <c r="D23" s="887" t="s">
        <v>608</v>
      </c>
      <c r="E23" s="887" t="s">
        <v>608</v>
      </c>
      <c r="F23" s="887" t="s">
        <v>608</v>
      </c>
      <c r="G23" s="888" t="s">
        <v>608</v>
      </c>
    </row>
    <row r="24" spans="2:8">
      <c r="B24" s="330" t="s">
        <v>609</v>
      </c>
      <c r="D24" s="296">
        <v>200</v>
      </c>
      <c r="E24" s="296">
        <v>200</v>
      </c>
      <c r="F24" s="296">
        <v>200</v>
      </c>
      <c r="G24" s="690">
        <f>SUM(E24:F24)</f>
        <v>400</v>
      </c>
      <c r="H24" s="281" t="s">
        <v>610</v>
      </c>
    </row>
    <row r="25" spans="2:8">
      <c r="B25" s="893" t="s">
        <v>611</v>
      </c>
      <c r="C25" s="889">
        <v>423.71</v>
      </c>
      <c r="D25" s="889">
        <v>645.6</v>
      </c>
      <c r="E25" s="889">
        <v>1472.15</v>
      </c>
      <c r="F25" s="889">
        <v>1522.45</v>
      </c>
      <c r="G25" s="894"/>
    </row>
    <row r="26" spans="2:8">
      <c r="B26" s="330"/>
      <c r="C26" s="331"/>
      <c r="D26" s="331"/>
      <c r="E26" s="331"/>
      <c r="F26" s="331"/>
      <c r="G26" s="332"/>
    </row>
    <row r="27" spans="2:8">
      <c r="B27" s="895"/>
      <c r="C27" s="890" t="s">
        <v>17</v>
      </c>
      <c r="D27" s="890" t="s">
        <v>17</v>
      </c>
      <c r="E27" s="890" t="s">
        <v>17</v>
      </c>
      <c r="F27" s="890" t="s">
        <v>17</v>
      </c>
      <c r="G27" s="896" t="s">
        <v>17</v>
      </c>
    </row>
    <row r="28" spans="2:8">
      <c r="B28" s="874"/>
      <c r="C28" s="875"/>
      <c r="D28" s="875"/>
      <c r="E28" s="875"/>
      <c r="F28" s="875"/>
      <c r="G28" s="876"/>
    </row>
    <row r="29" spans="2:8">
      <c r="B29" s="874" t="s">
        <v>612</v>
      </c>
      <c r="C29" s="877"/>
      <c r="D29" s="878">
        <f>(D25-C25)*D24/1000*(7/12)</f>
        <v>25.887166666666673</v>
      </c>
      <c r="E29" s="878">
        <f>(E25-D25)*E24/1000</f>
        <v>165.31</v>
      </c>
      <c r="F29" s="878">
        <f>(F25-E25)*F24/1000</f>
        <v>10.059999999999992</v>
      </c>
      <c r="G29" s="879">
        <f>SUM(C29:F29)</f>
        <v>201.25716666666668</v>
      </c>
    </row>
    <row r="30" spans="2:8">
      <c r="B30" s="874"/>
      <c r="C30" s="877"/>
      <c r="D30" s="877"/>
      <c r="E30" s="877"/>
      <c r="F30" s="877"/>
      <c r="G30" s="880"/>
    </row>
    <row r="31" spans="2:8" ht="15.95" thickBot="1">
      <c r="B31" s="881"/>
      <c r="C31" s="882"/>
      <c r="D31" s="882"/>
      <c r="E31" s="882"/>
      <c r="F31" s="882"/>
      <c r="G31" s="883"/>
    </row>
    <row r="32" spans="2:8">
      <c r="C32" s="502"/>
      <c r="D32" s="502"/>
      <c r="E32" s="502"/>
      <c r="F32" s="502"/>
      <c r="G32" s="502"/>
    </row>
    <row r="33" spans="3:7">
      <c r="C33" s="502"/>
      <c r="D33" s="502"/>
      <c r="E33" s="502"/>
      <c r="F33" s="502"/>
      <c r="G33" s="50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A0004-F078-47EA-940B-7AB292814B43}">
  <sheetPr>
    <tabColor theme="7"/>
  </sheetPr>
  <dimension ref="A2:BJ103"/>
  <sheetViews>
    <sheetView zoomScaleNormal="100" workbookViewId="0">
      <selection activeCell="B11" sqref="B11"/>
    </sheetView>
  </sheetViews>
  <sheetFormatPr defaultColWidth="9.140625" defaultRowHeight="14.1"/>
  <cols>
    <col min="1" max="1" width="14.42578125" style="377" bestFit="1" customWidth="1"/>
    <col min="2" max="2" width="34.28515625" style="377" bestFit="1" customWidth="1"/>
    <col min="3" max="9" width="22.42578125" style="377" bestFit="1" customWidth="1"/>
    <col min="10" max="10" width="24.85546875" style="377" customWidth="1"/>
    <col min="11" max="31" width="22.42578125" style="377" bestFit="1" customWidth="1"/>
    <col min="32" max="38" width="23.7109375" style="377" bestFit="1" customWidth="1"/>
    <col min="39" max="39" width="23.7109375" style="698" bestFit="1" customWidth="1"/>
    <col min="40" max="50" width="23.7109375" style="377" bestFit="1" customWidth="1"/>
    <col min="51" max="51" width="23.7109375" style="698" bestFit="1" customWidth="1"/>
    <col min="52" max="57" width="23.7109375" style="377" bestFit="1" customWidth="1"/>
    <col min="58" max="58" width="23.7109375" style="698" bestFit="1" customWidth="1"/>
    <col min="59" max="59" width="23.7109375" style="377" bestFit="1" customWidth="1"/>
    <col min="60" max="60" width="23.7109375" style="698" bestFit="1" customWidth="1"/>
    <col min="61" max="62" width="23.7109375" style="377" bestFit="1" customWidth="1"/>
    <col min="63" max="16384" width="9.140625" style="377"/>
  </cols>
  <sheetData>
    <row r="2" spans="1:62" ht="15" thickBot="1">
      <c r="A2" s="493" t="s">
        <v>613</v>
      </c>
    </row>
    <row r="3" spans="1:62">
      <c r="B3" s="790"/>
      <c r="C3" s="784">
        <v>2021</v>
      </c>
      <c r="D3" s="785">
        <v>2022</v>
      </c>
      <c r="E3" s="783">
        <v>2023</v>
      </c>
      <c r="F3" s="781" t="s">
        <v>614</v>
      </c>
      <c r="G3" s="797" t="s">
        <v>615</v>
      </c>
      <c r="H3" s="791">
        <v>2024</v>
      </c>
      <c r="I3" s="791">
        <v>2025</v>
      </c>
      <c r="J3" s="792" t="s">
        <v>616</v>
      </c>
    </row>
    <row r="4" spans="1:62">
      <c r="B4" s="665" t="s">
        <v>617</v>
      </c>
      <c r="C4" s="496">
        <f>SUM(C25:N25)</f>
        <v>817458321742.90247</v>
      </c>
      <c r="D4" s="666">
        <f>SUM(O25:Z25)</f>
        <v>808677848768.64404</v>
      </c>
      <c r="E4" s="786">
        <f>SUM(AA25:AL25)</f>
        <v>1371657694578.989</v>
      </c>
      <c r="F4" s="780">
        <f>SUM(AA25:AE25)</f>
        <v>409228718616.61035</v>
      </c>
      <c r="G4" s="798">
        <f>SUM(AF25:AL25)</f>
        <v>962428975962.37878</v>
      </c>
      <c r="H4" s="793">
        <f>SUM(AM25:AX25)</f>
        <v>2972596972495.4507</v>
      </c>
      <c r="I4" s="793">
        <f>SUM(AY25:BJ25)</f>
        <v>3165918175252.9219</v>
      </c>
      <c r="J4" s="794">
        <f>SUM(G4:I4)</f>
        <v>7100944123710.752</v>
      </c>
    </row>
    <row r="5" spans="1:62">
      <c r="B5" s="665" t="s">
        <v>618</v>
      </c>
      <c r="C5" s="496">
        <f>SUM(C55:N55)</f>
        <v>251071584299.26099</v>
      </c>
      <c r="D5" s="666">
        <f>SUM(O55:Z55)</f>
        <v>151058848235.39029</v>
      </c>
      <c r="E5" s="786">
        <f>SUM(AA55:AL55)</f>
        <v>631443739662.90906</v>
      </c>
      <c r="F5" s="780">
        <f>SUM(AA55:AE55)</f>
        <v>189419442079.2211</v>
      </c>
      <c r="G5" s="798">
        <f>SUM(AF55:AL55)</f>
        <v>442024297583.68781</v>
      </c>
      <c r="H5" s="793">
        <f>SUM(AM55:AX55)</f>
        <v>1941226208146.1501</v>
      </c>
      <c r="I5" s="793">
        <f>SUM(AY55:BJ55)</f>
        <v>1929296784984.7048</v>
      </c>
      <c r="J5" s="794">
        <f>SUM(G5:I5)</f>
        <v>4312547290714.543</v>
      </c>
    </row>
    <row r="6" spans="1:62">
      <c r="B6" s="665" t="s">
        <v>619</v>
      </c>
      <c r="C6" s="496">
        <f>C5</f>
        <v>251071584299.26099</v>
      </c>
      <c r="D6" s="666">
        <f>D5</f>
        <v>151058848235.39029</v>
      </c>
      <c r="E6" s="786">
        <f>F6+G6</f>
        <v>454606660990.13062</v>
      </c>
      <c r="F6" s="780">
        <f>F5</f>
        <v>189419442079.2211</v>
      </c>
      <c r="G6" s="798">
        <f>F6/5*7</f>
        <v>265187218910.90955</v>
      </c>
      <c r="H6" s="793">
        <f>F6/5*12</f>
        <v>454606660990.13068</v>
      </c>
      <c r="I6" s="793">
        <f>H6</f>
        <v>454606660990.13068</v>
      </c>
      <c r="J6" s="794">
        <f>SUM(G6:I6)</f>
        <v>1174400540891.1709</v>
      </c>
    </row>
    <row r="7" spans="1:62" ht="15" thickBot="1">
      <c r="B7" s="669" t="s">
        <v>620</v>
      </c>
      <c r="C7" s="788">
        <f t="shared" ref="C7:I7" si="0">C5-C6</f>
        <v>0</v>
      </c>
      <c r="D7" s="789">
        <f t="shared" si="0"/>
        <v>0</v>
      </c>
      <c r="E7" s="787">
        <f t="shared" si="0"/>
        <v>176837078672.77844</v>
      </c>
      <c r="F7" s="782">
        <f t="shared" si="0"/>
        <v>0</v>
      </c>
      <c r="G7" s="799">
        <f t="shared" si="0"/>
        <v>176837078672.77826</v>
      </c>
      <c r="H7" s="795">
        <f t="shared" si="0"/>
        <v>1486619547156.0195</v>
      </c>
      <c r="I7" s="795">
        <f t="shared" si="0"/>
        <v>1474690123994.5742</v>
      </c>
      <c r="J7" s="796">
        <f>SUM(G7:I7)</f>
        <v>3138146749823.3721</v>
      </c>
    </row>
    <row r="8" spans="1:62">
      <c r="C8" s="779"/>
      <c r="D8" s="779"/>
      <c r="E8" s="779"/>
      <c r="F8" s="779"/>
      <c r="G8" s="779"/>
      <c r="H8" s="779"/>
      <c r="I8" s="779"/>
      <c r="J8" s="779"/>
    </row>
    <row r="9" spans="1:62">
      <c r="A9" s="1115"/>
      <c r="B9" s="1115"/>
      <c r="C9" s="1116"/>
      <c r="D9" s="1116"/>
      <c r="E9" s="1116"/>
      <c r="F9" s="1116"/>
      <c r="G9" s="1116"/>
      <c r="H9" s="1116"/>
      <c r="I9" s="1116"/>
      <c r="J9" s="1115"/>
      <c r="K9" s="1115"/>
      <c r="L9" s="1115"/>
      <c r="M9" s="1115"/>
      <c r="N9" s="1115"/>
      <c r="O9" s="1115"/>
      <c r="P9" s="1115"/>
      <c r="Q9" s="1115"/>
      <c r="R9" s="1115"/>
      <c r="S9" s="1115"/>
      <c r="T9" s="1115"/>
      <c r="U9" s="1115"/>
      <c r="V9" s="1115"/>
      <c r="W9" s="1115"/>
      <c r="X9" s="1115"/>
      <c r="Y9" s="1115"/>
      <c r="Z9" s="1115"/>
      <c r="AA9" s="1115"/>
      <c r="AB9" s="1115"/>
      <c r="AC9" s="1115"/>
      <c r="AD9" s="1115"/>
      <c r="AE9" s="1115"/>
      <c r="AF9" s="1115"/>
      <c r="AG9" s="1115"/>
      <c r="AH9" s="1115"/>
      <c r="AI9" s="1115"/>
      <c r="AJ9" s="1115"/>
      <c r="AK9" s="1115"/>
      <c r="AL9" s="1115"/>
      <c r="AM9" s="1117"/>
      <c r="AN9" s="1115"/>
      <c r="AO9" s="1115"/>
      <c r="AP9" s="1115"/>
      <c r="AQ9" s="1115"/>
      <c r="AR9" s="1115"/>
      <c r="AS9" s="1115"/>
      <c r="AT9" s="1115"/>
      <c r="AU9" s="1115"/>
      <c r="AV9" s="1115"/>
      <c r="AW9" s="1115"/>
      <c r="AX9" s="1115"/>
      <c r="AY9" s="1117"/>
      <c r="AZ9" s="1115"/>
      <c r="BA9" s="1115"/>
      <c r="BB9" s="1115"/>
      <c r="BC9" s="1115"/>
      <c r="BD9" s="1115"/>
      <c r="BE9" s="1115"/>
      <c r="BF9" s="1117"/>
      <c r="BG9" s="1115"/>
      <c r="BH9" s="1117"/>
      <c r="BI9" s="1115"/>
      <c r="BJ9" s="1115"/>
    </row>
    <row r="10" spans="1:62">
      <c r="A10" s="493" t="s">
        <v>621</v>
      </c>
      <c r="C10" s="779"/>
      <c r="D10" s="779"/>
      <c r="E10" s="779"/>
      <c r="F10" s="779"/>
      <c r="G10" s="779"/>
      <c r="H10" s="779"/>
      <c r="I10" s="779"/>
    </row>
    <row r="12" spans="1:62" ht="15" thickBot="1">
      <c r="B12" s="377" t="s">
        <v>622</v>
      </c>
    </row>
    <row r="13" spans="1:62" s="493" customFormat="1" ht="15" thickBot="1">
      <c r="A13" s="1231" t="s">
        <v>622</v>
      </c>
      <c r="B13" s="700" t="s">
        <v>623</v>
      </c>
      <c r="C13" s="701">
        <v>44197</v>
      </c>
      <c r="D13" s="701">
        <v>44228</v>
      </c>
      <c r="E13" s="701">
        <v>44256</v>
      </c>
      <c r="F13" s="701">
        <v>44287</v>
      </c>
      <c r="G13" s="701">
        <v>44317</v>
      </c>
      <c r="H13" s="701">
        <v>44348</v>
      </c>
      <c r="I13" s="701">
        <v>44378</v>
      </c>
      <c r="J13" s="701">
        <v>44409</v>
      </c>
      <c r="K13" s="701">
        <v>44440</v>
      </c>
      <c r="L13" s="701">
        <v>44470</v>
      </c>
      <c r="M13" s="701">
        <v>44501</v>
      </c>
      <c r="N13" s="701">
        <v>44531</v>
      </c>
      <c r="O13" s="701">
        <v>44562</v>
      </c>
      <c r="P13" s="701">
        <v>44593</v>
      </c>
      <c r="Q13" s="701">
        <v>44621</v>
      </c>
      <c r="R13" s="701">
        <v>44652</v>
      </c>
      <c r="S13" s="701">
        <v>44682</v>
      </c>
      <c r="T13" s="701">
        <v>44713</v>
      </c>
      <c r="U13" s="701">
        <v>44743</v>
      </c>
      <c r="V13" s="701">
        <v>44774</v>
      </c>
      <c r="W13" s="701">
        <v>44805</v>
      </c>
      <c r="X13" s="701">
        <v>44835</v>
      </c>
      <c r="Y13" s="701">
        <v>44866</v>
      </c>
      <c r="Z13" s="701">
        <v>44896</v>
      </c>
      <c r="AA13" s="701">
        <v>44927</v>
      </c>
      <c r="AB13" s="701">
        <v>44958</v>
      </c>
      <c r="AC13" s="701">
        <v>44986</v>
      </c>
      <c r="AD13" s="702">
        <f>[1]Sheet1!F2</f>
        <v>45017</v>
      </c>
      <c r="AE13" s="702">
        <f>[1]Sheet1!G2</f>
        <v>45047</v>
      </c>
      <c r="AF13" s="702">
        <f>[1]Sheet1!H2</f>
        <v>45078</v>
      </c>
      <c r="AG13" s="702">
        <f>[1]Sheet1!I2</f>
        <v>45108</v>
      </c>
      <c r="AH13" s="702">
        <f>[1]Sheet1!J2</f>
        <v>45139</v>
      </c>
      <c r="AI13" s="702">
        <f>[1]Sheet1!K2</f>
        <v>45170</v>
      </c>
      <c r="AJ13" s="702">
        <f>[1]Sheet1!L2</f>
        <v>45200</v>
      </c>
      <c r="AK13" s="702">
        <f>[1]Sheet1!M2</f>
        <v>45231</v>
      </c>
      <c r="AL13" s="702">
        <f>[1]Sheet1!N2</f>
        <v>45261</v>
      </c>
      <c r="AM13" s="703">
        <f>[1]Sheet1!O2</f>
        <v>45292</v>
      </c>
      <c r="AN13" s="702">
        <f>[1]Sheet1!P2</f>
        <v>45323</v>
      </c>
      <c r="AO13" s="702">
        <f>[1]Sheet1!Q2</f>
        <v>45352</v>
      </c>
      <c r="AP13" s="702">
        <f>[1]Sheet1!R2</f>
        <v>45383</v>
      </c>
      <c r="AQ13" s="702">
        <f>[1]Sheet1!S2</f>
        <v>45413</v>
      </c>
      <c r="AR13" s="702">
        <f>[1]Sheet1!T2</f>
        <v>45444</v>
      </c>
      <c r="AS13" s="702">
        <f>[1]Sheet1!U2</f>
        <v>45474</v>
      </c>
      <c r="AT13" s="702">
        <f>[1]Sheet1!V2</f>
        <v>45505</v>
      </c>
      <c r="AU13" s="702">
        <f>[1]Sheet1!W2</f>
        <v>45536</v>
      </c>
      <c r="AV13" s="702">
        <f>[1]Sheet1!X2</f>
        <v>45566</v>
      </c>
      <c r="AW13" s="702">
        <f>[1]Sheet1!Y2</f>
        <v>45597</v>
      </c>
      <c r="AX13" s="702">
        <f>[1]Sheet1!Z2</f>
        <v>45627</v>
      </c>
      <c r="AY13" s="703">
        <f>[1]Sheet1!AA2</f>
        <v>45658</v>
      </c>
      <c r="AZ13" s="702">
        <f>[1]Sheet1!AB2</f>
        <v>45689</v>
      </c>
      <c r="BA13" s="702">
        <f>[1]Sheet1!AC2</f>
        <v>45717</v>
      </c>
      <c r="BB13" s="702">
        <f>[1]Sheet1!AD2</f>
        <v>45748</v>
      </c>
      <c r="BC13" s="702">
        <f>[1]Sheet1!AE2</f>
        <v>45778</v>
      </c>
      <c r="BD13" s="702">
        <f>[1]Sheet1!AF2</f>
        <v>45809</v>
      </c>
      <c r="BE13" s="702">
        <f>[1]Sheet1!AG2</f>
        <v>45839</v>
      </c>
      <c r="BF13" s="703">
        <f>[1]Sheet1!AH2</f>
        <v>45870</v>
      </c>
      <c r="BG13" s="702">
        <f>[1]Sheet1!AI2</f>
        <v>45901</v>
      </c>
      <c r="BH13" s="703">
        <f>[1]Sheet1!AJ2</f>
        <v>45931</v>
      </c>
      <c r="BI13" s="702">
        <f>[1]Sheet1!AK2</f>
        <v>45962</v>
      </c>
      <c r="BJ13" s="702">
        <f>[1]Sheet1!AL2</f>
        <v>45992</v>
      </c>
    </row>
    <row r="14" spans="1:62">
      <c r="A14" s="1232"/>
      <c r="B14" s="704" t="s">
        <v>624</v>
      </c>
      <c r="C14" s="705">
        <v>8664123924.0799999</v>
      </c>
      <c r="D14" s="705">
        <v>8208969402.9696102</v>
      </c>
      <c r="E14" s="705">
        <v>8820086399.1644325</v>
      </c>
      <c r="F14" s="705">
        <v>8982293220.3957729</v>
      </c>
      <c r="G14" s="705">
        <v>8981473438.6010818</v>
      </c>
      <c r="H14" s="705">
        <v>7961056026.763586</v>
      </c>
      <c r="I14" s="705">
        <v>8323034668.7200003</v>
      </c>
      <c r="J14" s="705">
        <v>8157788193.7709293</v>
      </c>
      <c r="K14" s="705">
        <v>7774997595.5820847</v>
      </c>
      <c r="L14" s="705">
        <v>8418250945.6804962</v>
      </c>
      <c r="M14" s="705">
        <v>8487653057.6999998</v>
      </c>
      <c r="N14" s="705">
        <v>8548300030.4638071</v>
      </c>
      <c r="O14" s="705">
        <v>8849882420.9828548</v>
      </c>
      <c r="P14" s="705">
        <v>8240406114.8967066</v>
      </c>
      <c r="Q14" s="705">
        <v>8062556292.3540239</v>
      </c>
      <c r="R14" s="705">
        <v>8272866736.2938938</v>
      </c>
      <c r="S14" s="705">
        <v>7846342615.2909431</v>
      </c>
      <c r="T14" s="705">
        <v>7090231405.9952641</v>
      </c>
      <c r="U14" s="705">
        <v>9285099033.568943</v>
      </c>
      <c r="V14" s="705">
        <v>9396792493.3151627</v>
      </c>
      <c r="W14" s="705">
        <v>9871279557.7366447</v>
      </c>
      <c r="X14" s="705">
        <v>10460867371.489996</v>
      </c>
      <c r="Y14" s="705">
        <v>11028372086.368261</v>
      </c>
      <c r="Z14" s="705">
        <v>11206534904.766489</v>
      </c>
      <c r="AA14" s="705">
        <v>11142351296.34</v>
      </c>
      <c r="AB14" s="705">
        <v>10931838896.911154</v>
      </c>
      <c r="AC14" s="705">
        <v>12799705320.338236</v>
      </c>
      <c r="AD14" s="706">
        <f>[1]Sheet1!F3</f>
        <v>11739278136.730278</v>
      </c>
      <c r="AE14" s="706">
        <f>[1]Sheet1!G3</f>
        <v>15075982221.865347</v>
      </c>
      <c r="AF14" s="706">
        <f>[1]Sheet1!H3</f>
        <v>18923521469.700893</v>
      </c>
      <c r="AG14" s="706">
        <f>[1]Sheet1!I3</f>
        <v>19402970126.781715</v>
      </c>
      <c r="AH14" s="706">
        <f>[1]Sheet1!J3</f>
        <v>19433615700.844109</v>
      </c>
      <c r="AI14" s="706">
        <f>[1]Sheet1!K3</f>
        <v>19573886989.685993</v>
      </c>
      <c r="AJ14" s="706">
        <f>[1]Sheet1!L3</f>
        <v>22553416654.466976</v>
      </c>
      <c r="AK14" s="706">
        <f>[1]Sheet1!M3</f>
        <v>24232511298.615044</v>
      </c>
      <c r="AL14" s="706">
        <f>[1]Sheet1!N3</f>
        <v>24951810625.049751</v>
      </c>
      <c r="AM14" s="707">
        <f>[1]Sheet1!O3</f>
        <v>39917340375.037476</v>
      </c>
      <c r="AN14" s="706">
        <f>[1]Sheet1!P3</f>
        <v>32400323071.065262</v>
      </c>
      <c r="AO14" s="706">
        <f>[1]Sheet1!Q3</f>
        <v>37192957402.671898</v>
      </c>
      <c r="AP14" s="706">
        <f>[1]Sheet1!R3</f>
        <v>34703217234.708694</v>
      </c>
      <c r="AQ14" s="706">
        <f>[1]Sheet1!S3</f>
        <v>38128688283.738785</v>
      </c>
      <c r="AR14" s="706">
        <f>[1]Sheet1!T3</f>
        <v>35778872009.453979</v>
      </c>
      <c r="AS14" s="706">
        <f>[1]Sheet1!U3</f>
        <v>40049668839.010002</v>
      </c>
      <c r="AT14" s="706">
        <f>[1]Sheet1!V3</f>
        <v>37866997697.251419</v>
      </c>
      <c r="AU14" s="706">
        <f>[1]Sheet1!W3</f>
        <v>41237337118.250206</v>
      </c>
      <c r="AV14" s="706">
        <f>[1]Sheet1!X3</f>
        <v>42948104739.099998</v>
      </c>
      <c r="AW14" s="706">
        <f>[1]Sheet1!Y3</f>
        <v>42244893785.088959</v>
      </c>
      <c r="AX14" s="706">
        <f>[1]Sheet1!Z3</f>
        <v>41332342782.349998</v>
      </c>
      <c r="AY14" s="707">
        <f>[1]Sheet1!AA3</f>
        <v>41428107487.578964</v>
      </c>
      <c r="AZ14" s="706">
        <f>[1]Sheet1!AB3</f>
        <v>40599370974.019943</v>
      </c>
      <c r="BA14" s="706">
        <f>[1]Sheet1!AC3</f>
        <v>48752088628.900772</v>
      </c>
      <c r="BB14" s="706">
        <f>[1]Sheet1!AD3</f>
        <v>43664452975.347878</v>
      </c>
      <c r="BC14" s="706">
        <f>[1]Sheet1!AE3</f>
        <v>42221123598.380417</v>
      </c>
      <c r="BD14" s="706">
        <f>[1]Sheet1!AF3</f>
        <v>40743121771.776016</v>
      </c>
      <c r="BE14" s="706">
        <f>[1]Sheet1!AG3</f>
        <v>41080478038.117317</v>
      </c>
      <c r="BF14" s="707">
        <f>[1]Sheet1!AH3</f>
        <v>37564237522.725281</v>
      </c>
      <c r="BG14" s="706">
        <f>[1]Sheet1!AI3</f>
        <v>34884784138.592278</v>
      </c>
      <c r="BH14" s="707">
        <f>[1]Sheet1!AJ3</f>
        <v>38578869049.049721</v>
      </c>
      <c r="BI14" s="706">
        <f>[1]Sheet1!AK3</f>
        <v>42754876481.943726</v>
      </c>
      <c r="BJ14" s="706">
        <f>[1]Sheet1!AL3</f>
        <v>37013860051.901527</v>
      </c>
    </row>
    <row r="15" spans="1:62">
      <c r="A15" s="1232"/>
      <c r="B15" s="708" t="s">
        <v>625</v>
      </c>
      <c r="C15" s="709">
        <v>6432896237.2200003</v>
      </c>
      <c r="D15" s="709">
        <v>5771549262.5281258</v>
      </c>
      <c r="E15" s="709">
        <v>6175338362.3513803</v>
      </c>
      <c r="F15" s="709">
        <v>6082925304.06777</v>
      </c>
      <c r="G15" s="709">
        <v>6447658745.5920773</v>
      </c>
      <c r="H15" s="709">
        <v>6002524318.4975376</v>
      </c>
      <c r="I15" s="709">
        <v>6275794082.6599998</v>
      </c>
      <c r="J15" s="709">
        <v>5866393834.1207085</v>
      </c>
      <c r="K15" s="709">
        <v>5599461490.1128359</v>
      </c>
      <c r="L15" s="709">
        <v>6000295590.6435909</v>
      </c>
      <c r="M15" s="709">
        <v>5855863092.6099997</v>
      </c>
      <c r="N15" s="709">
        <v>6357200461.9764557</v>
      </c>
      <c r="O15" s="709">
        <v>6693883561.8860712</v>
      </c>
      <c r="P15" s="709">
        <v>6127665207.4679012</v>
      </c>
      <c r="Q15" s="709">
        <v>6264169894.0286608</v>
      </c>
      <c r="R15" s="709">
        <v>5699127765.550806</v>
      </c>
      <c r="S15" s="709">
        <v>5925666005.0841198</v>
      </c>
      <c r="T15" s="709">
        <v>5647328567.7870293</v>
      </c>
      <c r="U15" s="709">
        <v>6037342466.599164</v>
      </c>
      <c r="V15" s="709">
        <v>6252841985.472703</v>
      </c>
      <c r="W15" s="709">
        <v>6467566163.8108482</v>
      </c>
      <c r="X15" s="709">
        <v>6382120427.3439312</v>
      </c>
      <c r="Y15" s="709">
        <v>6809155934.6058769</v>
      </c>
      <c r="Z15" s="709">
        <v>6587864912.6483297</v>
      </c>
      <c r="AA15" s="709">
        <v>6580522776.3900003</v>
      </c>
      <c r="AB15" s="709">
        <v>6454060854.0663967</v>
      </c>
      <c r="AC15" s="709">
        <v>7065505301.3571625</v>
      </c>
      <c r="AD15" s="710">
        <f>[1]Sheet1!F4</f>
        <v>6819212028.3715754</v>
      </c>
      <c r="AE15" s="710">
        <f>[1]Sheet1!G4</f>
        <v>9310945901.4941807</v>
      </c>
      <c r="AF15" s="710">
        <f>[1]Sheet1!H4</f>
        <v>10566797636.895092</v>
      </c>
      <c r="AG15" s="710">
        <f>[1]Sheet1!I4</f>
        <v>10359142708.499966</v>
      </c>
      <c r="AH15" s="710">
        <f>[1]Sheet1!J4</f>
        <v>10192209320.739658</v>
      </c>
      <c r="AI15" s="710">
        <f>[1]Sheet1!K4</f>
        <v>11078906762.12822</v>
      </c>
      <c r="AJ15" s="710">
        <f>[1]Sheet1!L4</f>
        <v>12230889445.016958</v>
      </c>
      <c r="AK15" s="710">
        <f>[1]Sheet1!M4</f>
        <v>12744709487.713095</v>
      </c>
      <c r="AL15" s="710">
        <f>[1]Sheet1!N4</f>
        <v>13546738365.465984</v>
      </c>
      <c r="AM15" s="711">
        <f>[1]Sheet1!O4</f>
        <v>20642287788.157585</v>
      </c>
      <c r="AN15" s="710">
        <f>[1]Sheet1!P4</f>
        <v>17001218681.455055</v>
      </c>
      <c r="AO15" s="710">
        <f>[1]Sheet1!Q4</f>
        <v>18483021186.404125</v>
      </c>
      <c r="AP15" s="710">
        <f>[1]Sheet1!R4</f>
        <v>16332421292.911716</v>
      </c>
      <c r="AQ15" s="710">
        <f>[1]Sheet1!S4</f>
        <v>19333589687.434914</v>
      </c>
      <c r="AR15" s="710">
        <f>[1]Sheet1!T4</f>
        <v>19759875464.556591</v>
      </c>
      <c r="AS15" s="710">
        <f>[1]Sheet1!U4</f>
        <v>22560770181.580002</v>
      </c>
      <c r="AT15" s="710">
        <f>[1]Sheet1!V4</f>
        <v>21505423316.681305</v>
      </c>
      <c r="AU15" s="710">
        <f>[1]Sheet1!W4</f>
        <v>25329304441.830772</v>
      </c>
      <c r="AV15" s="710">
        <f>[1]Sheet1!X4</f>
        <v>25531192966.549999</v>
      </c>
      <c r="AW15" s="710">
        <f>[1]Sheet1!Y4</f>
        <v>26777074067.535294</v>
      </c>
      <c r="AX15" s="710">
        <f>[1]Sheet1!Z4</f>
        <v>27148421004.48</v>
      </c>
      <c r="AY15" s="711">
        <f>[1]Sheet1!AA4</f>
        <v>29926657011.254379</v>
      </c>
      <c r="AZ15" s="710">
        <f>[1]Sheet1!AB4</f>
        <v>26183944101.947166</v>
      </c>
      <c r="BA15" s="710">
        <f>[1]Sheet1!AC4</f>
        <v>27488837557.588825</v>
      </c>
      <c r="BB15" s="710">
        <f>[1]Sheet1!AD4</f>
        <v>25108848531.710426</v>
      </c>
      <c r="BC15" s="710">
        <f>[1]Sheet1!AE4</f>
        <v>27303838682.449337</v>
      </c>
      <c r="BD15" s="710">
        <f>[1]Sheet1!AF4</f>
        <v>22466452352.869781</v>
      </c>
      <c r="BE15" s="710">
        <f>[1]Sheet1!AG4</f>
        <v>26225769349.072929</v>
      </c>
      <c r="BF15" s="711">
        <f>[1]Sheet1!AH4</f>
        <v>23270264731.456524</v>
      </c>
      <c r="BG15" s="710">
        <f>[1]Sheet1!AI4</f>
        <v>20445371507.963879</v>
      </c>
      <c r="BH15" s="711">
        <f>[1]Sheet1!AJ4</f>
        <v>23834474556.667892</v>
      </c>
      <c r="BI15" s="710">
        <f>[1]Sheet1!AK4</f>
        <v>24445014286.863285</v>
      </c>
      <c r="BJ15" s="710">
        <f>[1]Sheet1!AL4</f>
        <v>20445258467.200417</v>
      </c>
    </row>
    <row r="16" spans="1:62">
      <c r="A16" s="1232"/>
      <c r="B16" s="708" t="s">
        <v>626</v>
      </c>
      <c r="C16" s="709">
        <v>8473766053.0799999</v>
      </c>
      <c r="D16" s="709">
        <v>7763525715.3383188</v>
      </c>
      <c r="E16" s="709">
        <v>7764839864.1689615</v>
      </c>
      <c r="F16" s="709">
        <v>7713889303.9720459</v>
      </c>
      <c r="G16" s="709">
        <v>8114464714.9378777</v>
      </c>
      <c r="H16" s="709">
        <v>7491888342.383378</v>
      </c>
      <c r="I16" s="709">
        <v>7717178183.5200005</v>
      </c>
      <c r="J16" s="709">
        <v>7726985295.1719837</v>
      </c>
      <c r="K16" s="709">
        <v>6958090908.9030409</v>
      </c>
      <c r="L16" s="709">
        <v>7763177513.0948582</v>
      </c>
      <c r="M16" s="709">
        <v>7486538371.5900002</v>
      </c>
      <c r="N16" s="709">
        <v>8033479622.02001</v>
      </c>
      <c r="O16" s="709">
        <v>8021173179.3741636</v>
      </c>
      <c r="P16" s="709">
        <v>7172168673.3601532</v>
      </c>
      <c r="Q16" s="709">
        <v>6603820221.3386879</v>
      </c>
      <c r="R16" s="709">
        <v>6795235470.2702141</v>
      </c>
      <c r="S16" s="709">
        <v>7253294242.0342388</v>
      </c>
      <c r="T16" s="709">
        <v>6257870214.1119614</v>
      </c>
      <c r="U16" s="709">
        <v>6639926170.2521601</v>
      </c>
      <c r="V16" s="709">
        <v>7852846475.1504526</v>
      </c>
      <c r="W16" s="709">
        <v>6751331673.7192774</v>
      </c>
      <c r="X16" s="709">
        <v>6412253512.8207359</v>
      </c>
      <c r="Y16" s="709">
        <v>6917385517.3262177</v>
      </c>
      <c r="Z16" s="709">
        <v>7748317680.0980034</v>
      </c>
      <c r="AA16" s="709">
        <v>8229717546.5</v>
      </c>
      <c r="AB16" s="709">
        <v>7402109066.9619732</v>
      </c>
      <c r="AC16" s="709">
        <v>8381777856.9054451</v>
      </c>
      <c r="AD16" s="710">
        <f>[1]Sheet1!F5</f>
        <v>7139737796.8412323</v>
      </c>
      <c r="AE16" s="710">
        <f>[1]Sheet1!G5</f>
        <v>10243718552.827183</v>
      </c>
      <c r="AF16" s="710">
        <f>[1]Sheet1!H5</f>
        <v>12331617373.313574</v>
      </c>
      <c r="AG16" s="710">
        <f>[1]Sheet1!I5</f>
        <v>13219677398.159496</v>
      </c>
      <c r="AH16" s="710">
        <f>[1]Sheet1!J5</f>
        <v>13595176049.222227</v>
      </c>
      <c r="AI16" s="710">
        <f>[1]Sheet1!K5</f>
        <v>15099739781.001057</v>
      </c>
      <c r="AJ16" s="710">
        <f>[1]Sheet1!L5</f>
        <v>18676413303.718391</v>
      </c>
      <c r="AK16" s="710">
        <f>[1]Sheet1!M5</f>
        <v>20996821467.083176</v>
      </c>
      <c r="AL16" s="710">
        <f>[1]Sheet1!N5</f>
        <v>21283551348.235199</v>
      </c>
      <c r="AM16" s="711">
        <f>[1]Sheet1!O5</f>
        <v>35606893775.012962</v>
      </c>
      <c r="AN16" s="710">
        <f>[1]Sheet1!P5</f>
        <v>26490453713.813725</v>
      </c>
      <c r="AO16" s="710">
        <f>[1]Sheet1!Q5</f>
        <v>32097592306.494812</v>
      </c>
      <c r="AP16" s="710">
        <f>[1]Sheet1!R5</f>
        <v>29234213057.990673</v>
      </c>
      <c r="AQ16" s="710">
        <f>[1]Sheet1!S5</f>
        <v>33619481670.290379</v>
      </c>
      <c r="AR16" s="710">
        <f>[1]Sheet1!T5</f>
        <v>30944860856.102783</v>
      </c>
      <c r="AS16" s="710">
        <f>[1]Sheet1!U5</f>
        <v>33378479834.209999</v>
      </c>
      <c r="AT16" s="710">
        <f>[1]Sheet1!V5</f>
        <v>31288167249.336922</v>
      </c>
      <c r="AU16" s="710">
        <f>[1]Sheet1!W5</f>
        <v>37584287472.78228</v>
      </c>
      <c r="AV16" s="710">
        <f>[1]Sheet1!X5</f>
        <v>35620864128.970001</v>
      </c>
      <c r="AW16" s="710">
        <f>[1]Sheet1!Y5</f>
        <v>34715105373.535583</v>
      </c>
      <c r="AX16" s="710">
        <f>[1]Sheet1!Z5</f>
        <v>37415893531.260002</v>
      </c>
      <c r="AY16" s="711">
        <f>[1]Sheet1!AA5</f>
        <v>41773512549.713524</v>
      </c>
      <c r="AZ16" s="710">
        <f>[1]Sheet1!AB5</f>
        <v>38059560050.447502</v>
      </c>
      <c r="BA16" s="710">
        <f>[1]Sheet1!AC5</f>
        <v>40008950103.567513</v>
      </c>
      <c r="BB16" s="710">
        <f>[1]Sheet1!AD5</f>
        <v>35034042086.114456</v>
      </c>
      <c r="BC16" s="710">
        <f>[1]Sheet1!AE5</f>
        <v>38634600127.173508</v>
      </c>
      <c r="BD16" s="710">
        <f>[1]Sheet1!AF5</f>
        <v>34513471172.233109</v>
      </c>
      <c r="BE16" s="710">
        <f>[1]Sheet1!AG5</f>
        <v>35572530320.188889</v>
      </c>
      <c r="BF16" s="711">
        <f>[1]Sheet1!AH5</f>
        <v>32625343607.204617</v>
      </c>
      <c r="BG16" s="710">
        <f>[1]Sheet1!AI5</f>
        <v>29319684329.895561</v>
      </c>
      <c r="BH16" s="711">
        <f>[1]Sheet1!AJ5</f>
        <v>33895369274.06813</v>
      </c>
      <c r="BI16" s="710">
        <f>[1]Sheet1!AK5</f>
        <v>34834002666.250298</v>
      </c>
      <c r="BJ16" s="710">
        <f>[1]Sheet1!AL5</f>
        <v>30464336426.806755</v>
      </c>
    </row>
    <row r="17" spans="1:62">
      <c r="A17" s="1232"/>
      <c r="B17" s="708" t="s">
        <v>627</v>
      </c>
      <c r="C17" s="709">
        <v>6906862973.0200005</v>
      </c>
      <c r="D17" s="709">
        <v>6275535746.4685583</v>
      </c>
      <c r="E17" s="709">
        <v>6316299434.4384346</v>
      </c>
      <c r="F17" s="709">
        <v>6206094666.4176407</v>
      </c>
      <c r="G17" s="709">
        <v>6460536785.130476</v>
      </c>
      <c r="H17" s="709">
        <v>6062633622.1368608</v>
      </c>
      <c r="I17" s="709">
        <v>6390254905.3199997</v>
      </c>
      <c r="J17" s="709">
        <v>6015868224.7590933</v>
      </c>
      <c r="K17" s="709">
        <v>5693847400.3143854</v>
      </c>
      <c r="L17" s="709">
        <v>6148214654.2005081</v>
      </c>
      <c r="M17" s="709">
        <v>6094210964.7399998</v>
      </c>
      <c r="N17" s="709">
        <v>6484017366.6764822</v>
      </c>
      <c r="O17" s="709">
        <v>6771331778.1170769</v>
      </c>
      <c r="P17" s="709">
        <v>6417609307.3983679</v>
      </c>
      <c r="Q17" s="709">
        <v>6332885935.8283062</v>
      </c>
      <c r="R17" s="709">
        <v>5803789256.4032307</v>
      </c>
      <c r="S17" s="709">
        <v>5795117654.000494</v>
      </c>
      <c r="T17" s="709">
        <v>5534441505.8378563</v>
      </c>
      <c r="U17" s="709">
        <v>6314601891.6003799</v>
      </c>
      <c r="V17" s="709">
        <v>6407803996.1847115</v>
      </c>
      <c r="W17" s="709">
        <v>6057973181.5782166</v>
      </c>
      <c r="X17" s="709">
        <v>5977834144.2742672</v>
      </c>
      <c r="Y17" s="709">
        <v>6503780857.7416515</v>
      </c>
      <c r="Z17" s="709">
        <v>7094948225.632493</v>
      </c>
      <c r="AA17" s="709">
        <v>6814187085.0799999</v>
      </c>
      <c r="AB17" s="709">
        <v>6969810304.9329147</v>
      </c>
      <c r="AC17" s="709">
        <v>7031187554.6300516</v>
      </c>
      <c r="AD17" s="710">
        <f>[1]Sheet1!F6</f>
        <v>6873412520.0289612</v>
      </c>
      <c r="AE17" s="710">
        <f>[1]Sheet1!G6</f>
        <v>8997401554.376461</v>
      </c>
      <c r="AF17" s="710">
        <f>[1]Sheet1!H6</f>
        <v>10562532144.524075</v>
      </c>
      <c r="AG17" s="710">
        <f>[1]Sheet1!I6</f>
        <v>10146892857.362532</v>
      </c>
      <c r="AH17" s="710">
        <f>[1]Sheet1!J6</f>
        <v>10218064877.339993</v>
      </c>
      <c r="AI17" s="710">
        <f>[1]Sheet1!K6</f>
        <v>10685407219.412594</v>
      </c>
      <c r="AJ17" s="710">
        <f>[1]Sheet1!L6</f>
        <v>12900718640.465128</v>
      </c>
      <c r="AK17" s="710">
        <f>[1]Sheet1!M6</f>
        <v>13234143189.634571</v>
      </c>
      <c r="AL17" s="710">
        <f>[1]Sheet1!N6</f>
        <v>14661031718.904818</v>
      </c>
      <c r="AM17" s="711">
        <f>[1]Sheet1!O6</f>
        <v>20402336357.866653</v>
      </c>
      <c r="AN17" s="710">
        <f>[1]Sheet1!P6</f>
        <v>15617138745.989513</v>
      </c>
      <c r="AO17" s="710">
        <f>[1]Sheet1!Q6</f>
        <v>17274704568.417976</v>
      </c>
      <c r="AP17" s="710">
        <f>[1]Sheet1!R6</f>
        <v>15368106493.272821</v>
      </c>
      <c r="AQ17" s="710">
        <f>[1]Sheet1!S6</f>
        <v>17980861507.28788</v>
      </c>
      <c r="AR17" s="710">
        <f>[1]Sheet1!T6</f>
        <v>18656993501.842232</v>
      </c>
      <c r="AS17" s="710">
        <f>[1]Sheet1!U6</f>
        <v>20667398614.689999</v>
      </c>
      <c r="AT17" s="710">
        <f>[1]Sheet1!V6</f>
        <v>20773592149.259262</v>
      </c>
      <c r="AU17" s="710">
        <f>[1]Sheet1!W6</f>
        <v>22950669340.855797</v>
      </c>
      <c r="AV17" s="710">
        <f>[1]Sheet1!X6</f>
        <v>22454241456.77</v>
      </c>
      <c r="AW17" s="710">
        <f>[1]Sheet1!Y6</f>
        <v>23017728480.243233</v>
      </c>
      <c r="AX17" s="710">
        <f>[1]Sheet1!Z6</f>
        <v>23420160314.77</v>
      </c>
      <c r="AY17" s="711">
        <f>[1]Sheet1!AA6</f>
        <v>24401429645.662392</v>
      </c>
      <c r="AZ17" s="710">
        <f>[1]Sheet1!AB6</f>
        <v>23464002874.891003</v>
      </c>
      <c r="BA17" s="710">
        <f>[1]Sheet1!AC6</f>
        <v>26240443121.804085</v>
      </c>
      <c r="BB17" s="710">
        <f>[1]Sheet1!AD6</f>
        <v>23876439012.152336</v>
      </c>
      <c r="BC17" s="710">
        <f>[1]Sheet1!AE6</f>
        <v>22262462497.483181</v>
      </c>
      <c r="BD17" s="710">
        <f>[1]Sheet1!AF6</f>
        <v>21910528926.058533</v>
      </c>
      <c r="BE17" s="710">
        <f>[1]Sheet1!AG6</f>
        <v>22294198458.248531</v>
      </c>
      <c r="BF17" s="711">
        <f>[1]Sheet1!AH6</f>
        <v>20209547833.469814</v>
      </c>
      <c r="BG17" s="710">
        <f>[1]Sheet1!AI6</f>
        <v>19539344555.867603</v>
      </c>
      <c r="BH17" s="711">
        <f>[1]Sheet1!AJ6</f>
        <v>21109318514.0382</v>
      </c>
      <c r="BI17" s="710">
        <f>[1]Sheet1!AK6</f>
        <v>22082064932.456863</v>
      </c>
      <c r="BJ17" s="710">
        <f>[1]Sheet1!AL6</f>
        <v>19429271291.63652</v>
      </c>
    </row>
    <row r="18" spans="1:62">
      <c r="A18" s="1232"/>
      <c r="B18" s="708" t="s">
        <v>628</v>
      </c>
      <c r="C18" s="709">
        <v>9822549298.5300007</v>
      </c>
      <c r="D18" s="709">
        <v>8935738512.4469528</v>
      </c>
      <c r="E18" s="709">
        <v>9044444979.6043282</v>
      </c>
      <c r="F18" s="709">
        <v>9055937134.2488976</v>
      </c>
      <c r="G18" s="709">
        <v>9251022501.654089</v>
      </c>
      <c r="H18" s="709">
        <v>8212163199.7097073</v>
      </c>
      <c r="I18" s="709">
        <v>9124702817.0100002</v>
      </c>
      <c r="J18" s="709">
        <v>8860201163.2308407</v>
      </c>
      <c r="K18" s="709">
        <v>8473586980.982399</v>
      </c>
      <c r="L18" s="709">
        <v>9005821849.7958755</v>
      </c>
      <c r="M18" s="709">
        <v>8997130764.5799999</v>
      </c>
      <c r="N18" s="709">
        <v>9289486404.7977047</v>
      </c>
      <c r="O18" s="709">
        <v>9410018929.8315601</v>
      </c>
      <c r="P18" s="709">
        <v>8267106349.6606073</v>
      </c>
      <c r="Q18" s="709">
        <v>7966558755.4407759</v>
      </c>
      <c r="R18" s="709">
        <v>8082921007.5439968</v>
      </c>
      <c r="S18" s="709">
        <v>8016234308.1588726</v>
      </c>
      <c r="T18" s="709">
        <v>7169537283.9215469</v>
      </c>
      <c r="U18" s="709">
        <v>8357879508.9116459</v>
      </c>
      <c r="V18" s="709">
        <v>8228922551.5410891</v>
      </c>
      <c r="W18" s="709">
        <v>8239171225.174345</v>
      </c>
      <c r="X18" s="709">
        <v>8233855343.7887821</v>
      </c>
      <c r="Y18" s="709">
        <v>8983144259.7899284</v>
      </c>
      <c r="Z18" s="709">
        <v>9498828244.6612854</v>
      </c>
      <c r="AA18" s="709">
        <v>8767861362.3299999</v>
      </c>
      <c r="AB18" s="709">
        <v>8767645113.7273121</v>
      </c>
      <c r="AC18" s="709">
        <v>9856669372.650938</v>
      </c>
      <c r="AD18" s="710">
        <f>[1]Sheet1!F7</f>
        <v>8786429494.063282</v>
      </c>
      <c r="AE18" s="710">
        <f>[1]Sheet1!G7</f>
        <v>12029206167.134918</v>
      </c>
      <c r="AF18" s="710">
        <f>[1]Sheet1!H7</f>
        <v>13466169151.693689</v>
      </c>
      <c r="AG18" s="710">
        <f>[1]Sheet1!I7</f>
        <v>13473944144.475496</v>
      </c>
      <c r="AH18" s="710">
        <f>[1]Sheet1!J7</f>
        <v>13990601784.370901</v>
      </c>
      <c r="AI18" s="710">
        <f>[1]Sheet1!K7</f>
        <v>15496385430.396692</v>
      </c>
      <c r="AJ18" s="710">
        <f>[1]Sheet1!L7</f>
        <v>17315677519.527878</v>
      </c>
      <c r="AK18" s="710">
        <f>[1]Sheet1!M7</f>
        <v>19378244796.094055</v>
      </c>
      <c r="AL18" s="710">
        <f>[1]Sheet1!N7</f>
        <v>19587375920.878658</v>
      </c>
      <c r="AM18" s="711">
        <f>[1]Sheet1!O7</f>
        <v>29077716965.704426</v>
      </c>
      <c r="AN18" s="710">
        <f>[1]Sheet1!P7</f>
        <v>24550914886.592327</v>
      </c>
      <c r="AO18" s="710">
        <f>[1]Sheet1!Q7</f>
        <v>26383164872.983479</v>
      </c>
      <c r="AP18" s="710">
        <f>[1]Sheet1!R7</f>
        <v>23119376115.572723</v>
      </c>
      <c r="AQ18" s="710">
        <f>[1]Sheet1!S7</f>
        <v>29059049436.440071</v>
      </c>
      <c r="AR18" s="710">
        <f>[1]Sheet1!T7</f>
        <v>27528522678.341728</v>
      </c>
      <c r="AS18" s="710">
        <f>[1]Sheet1!U7</f>
        <v>31798897756.48</v>
      </c>
      <c r="AT18" s="710">
        <f>[1]Sheet1!V7</f>
        <v>30471489810.783413</v>
      </c>
      <c r="AU18" s="710">
        <f>[1]Sheet1!W7</f>
        <v>34882663091.223412</v>
      </c>
      <c r="AV18" s="710">
        <f>[1]Sheet1!X7</f>
        <v>34005046880.790001</v>
      </c>
      <c r="AW18" s="710">
        <f>[1]Sheet1!Y7</f>
        <v>34062349340.031349</v>
      </c>
      <c r="AX18" s="710">
        <f>[1]Sheet1!Z7</f>
        <v>34470434225.209999</v>
      </c>
      <c r="AY18" s="711">
        <f>[1]Sheet1!AA7</f>
        <v>35815609751.452141</v>
      </c>
      <c r="AZ18" s="710">
        <f>[1]Sheet1!AB7</f>
        <v>31250240986.031891</v>
      </c>
      <c r="BA18" s="710">
        <f>[1]Sheet1!AC7</f>
        <v>33081569050.560608</v>
      </c>
      <c r="BB18" s="710">
        <f>[1]Sheet1!AD7</f>
        <v>32033718940.618675</v>
      </c>
      <c r="BC18" s="710">
        <f>[1]Sheet1!AE7</f>
        <v>33452150266.205009</v>
      </c>
      <c r="BD18" s="710">
        <f>[1]Sheet1!AF7</f>
        <v>30727570485.973785</v>
      </c>
      <c r="BE18" s="710">
        <f>[1]Sheet1!AG7</f>
        <v>32992661803.186382</v>
      </c>
      <c r="BF18" s="711">
        <f>[1]Sheet1!AH7</f>
        <v>31364250344.088825</v>
      </c>
      <c r="BG18" s="710">
        <f>[1]Sheet1!AI7</f>
        <v>27773375518.108494</v>
      </c>
      <c r="BH18" s="711">
        <f>[1]Sheet1!AJ7</f>
        <v>30320697868.419724</v>
      </c>
      <c r="BI18" s="710">
        <f>[1]Sheet1!AK7</f>
        <v>32499891781.816048</v>
      </c>
      <c r="BJ18" s="710">
        <f>[1]Sheet1!AL7</f>
        <v>27749771401.387276</v>
      </c>
    </row>
    <row r="19" spans="1:62">
      <c r="A19" s="1232"/>
      <c r="B19" s="708" t="s">
        <v>629</v>
      </c>
      <c r="C19" s="709">
        <v>10846716157.200001</v>
      </c>
      <c r="D19" s="709">
        <v>10063174065.103397</v>
      </c>
      <c r="E19" s="709">
        <v>10245120691.644983</v>
      </c>
      <c r="F19" s="709">
        <v>10239858442.444529</v>
      </c>
      <c r="G19" s="709">
        <v>10869268009.759716</v>
      </c>
      <c r="H19" s="709">
        <v>10162972758.856216</v>
      </c>
      <c r="I19" s="709">
        <v>10297308400.32</v>
      </c>
      <c r="J19" s="709">
        <v>10011640939.594797</v>
      </c>
      <c r="K19" s="709">
        <v>9259000248.4272442</v>
      </c>
      <c r="L19" s="709">
        <v>10022734090.671829</v>
      </c>
      <c r="M19" s="709">
        <v>9828683089.8799992</v>
      </c>
      <c r="N19" s="709">
        <v>10660230715.178776</v>
      </c>
      <c r="O19" s="709">
        <v>10805012703.463926</v>
      </c>
      <c r="P19" s="709">
        <v>9622356077.4048786</v>
      </c>
      <c r="Q19" s="709">
        <v>9185821094.9072266</v>
      </c>
      <c r="R19" s="709">
        <v>9175270615.0632439</v>
      </c>
      <c r="S19" s="709">
        <v>9455832932.6365929</v>
      </c>
      <c r="T19" s="709">
        <v>8239248303.9708214</v>
      </c>
      <c r="U19" s="709">
        <v>9103734030.1318073</v>
      </c>
      <c r="V19" s="709">
        <v>9777517202.7698708</v>
      </c>
      <c r="W19" s="709">
        <v>10317122630.298628</v>
      </c>
      <c r="X19" s="709">
        <v>9670766801.9189644</v>
      </c>
      <c r="Y19" s="709">
        <v>10717196652.672606</v>
      </c>
      <c r="Z19" s="709">
        <v>11831481898.484356</v>
      </c>
      <c r="AA19" s="709">
        <v>11395076688.41</v>
      </c>
      <c r="AB19" s="709">
        <v>11533199841.143936</v>
      </c>
      <c r="AC19" s="709">
        <v>13153571100.416178</v>
      </c>
      <c r="AD19" s="710">
        <f>[1]Sheet1!F8</f>
        <v>11650890911.324524</v>
      </c>
      <c r="AE19" s="710">
        <f>[1]Sheet1!G8</f>
        <v>15880570805.443205</v>
      </c>
      <c r="AF19" s="710">
        <f>[1]Sheet1!H8</f>
        <v>19338508886.229156</v>
      </c>
      <c r="AG19" s="710">
        <f>[1]Sheet1!I8</f>
        <v>20500346238.03524</v>
      </c>
      <c r="AH19" s="710">
        <f>[1]Sheet1!J8</f>
        <v>20784124077.595436</v>
      </c>
      <c r="AI19" s="710">
        <f>[1]Sheet1!K8</f>
        <v>20503604769.698822</v>
      </c>
      <c r="AJ19" s="710">
        <f>[1]Sheet1!L8</f>
        <v>22006836608.521557</v>
      </c>
      <c r="AK19" s="710">
        <f>[1]Sheet1!M8</f>
        <v>24237211279.332436</v>
      </c>
      <c r="AL19" s="710">
        <f>[1]Sheet1!N8</f>
        <v>24773566622.232086</v>
      </c>
      <c r="AM19" s="711">
        <f>[1]Sheet1!O8</f>
        <v>40621628989.139847</v>
      </c>
      <c r="AN19" s="710">
        <f>[1]Sheet1!P8</f>
        <v>31037185327.191753</v>
      </c>
      <c r="AO19" s="710">
        <f>[1]Sheet1!Q8</f>
        <v>37137266388.843437</v>
      </c>
      <c r="AP19" s="710">
        <f>[1]Sheet1!R8</f>
        <v>35693054139.763741</v>
      </c>
      <c r="AQ19" s="710">
        <f>[1]Sheet1!S8</f>
        <v>39259448828.535187</v>
      </c>
      <c r="AR19" s="710">
        <f>[1]Sheet1!T8</f>
        <v>36721669335.923248</v>
      </c>
      <c r="AS19" s="710">
        <f>[1]Sheet1!U8</f>
        <v>38218644951.07</v>
      </c>
      <c r="AT19" s="710">
        <f>[1]Sheet1!V8</f>
        <v>36746889099.715988</v>
      </c>
      <c r="AU19" s="710">
        <f>[1]Sheet1!W8</f>
        <v>42850303245.477661</v>
      </c>
      <c r="AV19" s="710">
        <f>[1]Sheet1!X8</f>
        <v>42584549505.190002</v>
      </c>
      <c r="AW19" s="710">
        <f>[1]Sheet1!Y8</f>
        <v>40709546160.40374</v>
      </c>
      <c r="AX19" s="710">
        <f>[1]Sheet1!Z8</f>
        <v>43309444104.75</v>
      </c>
      <c r="AY19" s="711">
        <f>[1]Sheet1!AA8</f>
        <v>46057291997.382874</v>
      </c>
      <c r="AZ19" s="710">
        <f>[1]Sheet1!AB8</f>
        <v>41703622986.363403</v>
      </c>
      <c r="BA19" s="710">
        <f>[1]Sheet1!AC8</f>
        <v>45407621005.281815</v>
      </c>
      <c r="BB19" s="710">
        <f>[1]Sheet1!AD8</f>
        <v>41902474803.301941</v>
      </c>
      <c r="BC19" s="710">
        <f>[1]Sheet1!AE8</f>
        <v>44713935036.51619</v>
      </c>
      <c r="BD19" s="710">
        <f>[1]Sheet1!AF8</f>
        <v>40241933327.328957</v>
      </c>
      <c r="BE19" s="710">
        <f>[1]Sheet1!AG8</f>
        <v>41124709684.068306</v>
      </c>
      <c r="BF19" s="711">
        <f>[1]Sheet1!AH8</f>
        <v>35712062145.624207</v>
      </c>
      <c r="BG19" s="710">
        <f>[1]Sheet1!AI8</f>
        <v>33322432542.85582</v>
      </c>
      <c r="BH19" s="711">
        <f>[1]Sheet1!AJ8</f>
        <v>36997560084.080147</v>
      </c>
      <c r="BI19" s="710">
        <f>[1]Sheet1!AK8</f>
        <v>39808136127.960892</v>
      </c>
      <c r="BJ19" s="710">
        <f>[1]Sheet1!AL8</f>
        <v>35072377498.637642</v>
      </c>
    </row>
    <row r="20" spans="1:62">
      <c r="A20" s="1232"/>
      <c r="B20" s="708" t="s">
        <v>630</v>
      </c>
      <c r="C20" s="709">
        <v>3484777096.3699999</v>
      </c>
      <c r="D20" s="709">
        <v>3170869292.2738562</v>
      </c>
      <c r="E20" s="709">
        <v>3416670460.4496565</v>
      </c>
      <c r="F20" s="709">
        <v>3462762406.5198512</v>
      </c>
      <c r="G20" s="709">
        <v>3734328960.8515539</v>
      </c>
      <c r="H20" s="709">
        <v>3459561614.4793282</v>
      </c>
      <c r="I20" s="709">
        <v>3525538142.04</v>
      </c>
      <c r="J20" s="709">
        <v>3401080409.0882139</v>
      </c>
      <c r="K20" s="709">
        <v>3222403714.2940378</v>
      </c>
      <c r="L20" s="709">
        <v>3419110283.1941528</v>
      </c>
      <c r="M20" s="709">
        <v>3440712653.23</v>
      </c>
      <c r="N20" s="709">
        <v>3593766803.6010041</v>
      </c>
      <c r="O20" s="709">
        <v>3792050570.6961088</v>
      </c>
      <c r="P20" s="709">
        <v>3539287413.3087735</v>
      </c>
      <c r="Q20" s="709">
        <v>3631806849.1260834</v>
      </c>
      <c r="R20" s="709">
        <v>3530965332.1231117</v>
      </c>
      <c r="S20" s="709">
        <v>3505601628.2242022</v>
      </c>
      <c r="T20" s="709">
        <v>3238999267.7174416</v>
      </c>
      <c r="U20" s="709">
        <v>3639689399.335217</v>
      </c>
      <c r="V20" s="709">
        <v>3715925710.5253944</v>
      </c>
      <c r="W20" s="709">
        <v>3878911505.3813925</v>
      </c>
      <c r="X20" s="709">
        <v>4150975820.6595278</v>
      </c>
      <c r="Y20" s="709">
        <v>4271990087.2945714</v>
      </c>
      <c r="Z20" s="709">
        <v>4664891874.2108431</v>
      </c>
      <c r="AA20" s="709">
        <v>4561120465.6700001</v>
      </c>
      <c r="AB20" s="709">
        <v>4423658018.7800789</v>
      </c>
      <c r="AC20" s="709">
        <v>4665146497.1908751</v>
      </c>
      <c r="AD20" s="710">
        <f>[1]Sheet1!F9</f>
        <v>4369209491.4713974</v>
      </c>
      <c r="AE20" s="710">
        <f>[1]Sheet1!G9</f>
        <v>5604007876.792491</v>
      </c>
      <c r="AF20" s="710">
        <f>[1]Sheet1!H9</f>
        <v>5449283546.4529047</v>
      </c>
      <c r="AG20" s="710">
        <f>[1]Sheet1!I9</f>
        <v>6660096304.3689318</v>
      </c>
      <c r="AH20" s="710">
        <f>[1]Sheet1!J9</f>
        <v>6529717464.118063</v>
      </c>
      <c r="AI20" s="710">
        <f>[1]Sheet1!K9</f>
        <v>7061019420.6471148</v>
      </c>
      <c r="AJ20" s="710">
        <f>[1]Sheet1!L9</f>
        <v>8327216893.567646</v>
      </c>
      <c r="AK20" s="710">
        <f>[1]Sheet1!M9</f>
        <v>8649362402.5504971</v>
      </c>
      <c r="AL20" s="710">
        <f>[1]Sheet1!N9</f>
        <v>9097297662.546381</v>
      </c>
      <c r="AM20" s="711">
        <f>[1]Sheet1!O9</f>
        <v>13664590153.497581</v>
      </c>
      <c r="AN20" s="710">
        <f>[1]Sheet1!P9</f>
        <v>12354608277.859793</v>
      </c>
      <c r="AO20" s="710">
        <f>[1]Sheet1!Q9</f>
        <v>13573187444.583912</v>
      </c>
      <c r="AP20" s="710">
        <f>[1]Sheet1!R9</f>
        <v>11021019793.080753</v>
      </c>
      <c r="AQ20" s="710">
        <f>[1]Sheet1!S9</f>
        <v>11491984695.07021</v>
      </c>
      <c r="AR20" s="710">
        <f>[1]Sheet1!T9</f>
        <v>12521791450.539989</v>
      </c>
      <c r="AS20" s="710">
        <f>[1]Sheet1!U9</f>
        <v>14960750870.99</v>
      </c>
      <c r="AT20" s="710">
        <f>[1]Sheet1!V9</f>
        <v>14278915310.048998</v>
      </c>
      <c r="AU20" s="710">
        <f>[1]Sheet1!W9</f>
        <v>15923005087.622849</v>
      </c>
      <c r="AV20" s="710">
        <f>[1]Sheet1!X9</f>
        <v>10968251848.6</v>
      </c>
      <c r="AW20" s="710">
        <f>[1]Sheet1!Y9</f>
        <v>9427097107.1665726</v>
      </c>
      <c r="AX20" s="710">
        <f>[1]Sheet1!Z9</f>
        <v>11783981115.92</v>
      </c>
      <c r="AY20" s="711">
        <f>[1]Sheet1!AA9</f>
        <v>11825598323.581568</v>
      </c>
      <c r="AZ20" s="710">
        <f>[1]Sheet1!AB9</f>
        <v>12726878703.355303</v>
      </c>
      <c r="BA20" s="710">
        <f>[1]Sheet1!AC9</f>
        <v>17025961842.961222</v>
      </c>
      <c r="BB20" s="710">
        <f>[1]Sheet1!AD9</f>
        <v>14947963571.677441</v>
      </c>
      <c r="BC20" s="710">
        <f>[1]Sheet1!AE9</f>
        <v>13962927045.984211</v>
      </c>
      <c r="BD20" s="710">
        <f>[1]Sheet1!AF9</f>
        <v>12075447427.257595</v>
      </c>
      <c r="BE20" s="710">
        <f>[1]Sheet1!AG9</f>
        <v>12747151057.299967</v>
      </c>
      <c r="BF20" s="711">
        <f>[1]Sheet1!AH9</f>
        <v>12982831438.670155</v>
      </c>
      <c r="BG20" s="710">
        <f>[1]Sheet1!AI9</f>
        <v>12170866045.481192</v>
      </c>
      <c r="BH20" s="711">
        <f>[1]Sheet1!AJ9</f>
        <v>13960482456.841</v>
      </c>
      <c r="BI20" s="710">
        <f>[1]Sheet1!AK9</f>
        <v>12714372290.652941</v>
      </c>
      <c r="BJ20" s="710">
        <f>[1]Sheet1!AL9</f>
        <v>12695583623.761974</v>
      </c>
    </row>
    <row r="21" spans="1:62">
      <c r="A21" s="1232"/>
      <c r="B21" s="708" t="s">
        <v>631</v>
      </c>
      <c r="C21" s="709">
        <v>5191388028.3999996</v>
      </c>
      <c r="D21" s="709">
        <v>4857475815.7810373</v>
      </c>
      <c r="E21" s="709">
        <v>5289875293.2201996</v>
      </c>
      <c r="F21" s="709">
        <v>5628180589.4172516</v>
      </c>
      <c r="G21" s="709">
        <v>5659545300.9685707</v>
      </c>
      <c r="H21" s="709">
        <v>5325866052.8074741</v>
      </c>
      <c r="I21" s="709">
        <v>5395594496.0299997</v>
      </c>
      <c r="J21" s="709">
        <v>5280315408.6306534</v>
      </c>
      <c r="K21" s="709">
        <v>4977438809.3600683</v>
      </c>
      <c r="L21" s="709">
        <v>5497155298.4989462</v>
      </c>
      <c r="M21" s="709">
        <v>5375463348.2799997</v>
      </c>
      <c r="N21" s="709">
        <v>5487673304.2497053</v>
      </c>
      <c r="O21" s="709">
        <v>5699556264.5775881</v>
      </c>
      <c r="P21" s="709">
        <v>5217412654.7456131</v>
      </c>
      <c r="Q21" s="709">
        <v>5145904570.6366472</v>
      </c>
      <c r="R21" s="709">
        <v>5239346709.6289511</v>
      </c>
      <c r="S21" s="709">
        <v>4946944951.3274565</v>
      </c>
      <c r="T21" s="709">
        <v>4498603439.7557373</v>
      </c>
      <c r="U21" s="709">
        <v>4435546881.8301592</v>
      </c>
      <c r="V21" s="709">
        <v>4840153042.5107746</v>
      </c>
      <c r="W21" s="709">
        <v>4826839642.9564934</v>
      </c>
      <c r="X21" s="709">
        <v>5096844505.4153795</v>
      </c>
      <c r="Y21" s="709">
        <v>5116408107.3290205</v>
      </c>
      <c r="Z21" s="709">
        <v>5379021842.3736792</v>
      </c>
      <c r="AA21" s="709">
        <v>5232056605.54</v>
      </c>
      <c r="AB21" s="709">
        <v>5081524882.8087969</v>
      </c>
      <c r="AC21" s="709">
        <v>5343456341.3151169</v>
      </c>
      <c r="AD21" s="710">
        <f>[1]Sheet1!F10</f>
        <v>4556539571.7178974</v>
      </c>
      <c r="AE21" s="710">
        <f>[1]Sheet1!G10</f>
        <v>5434161808.4741287</v>
      </c>
      <c r="AF21" s="710">
        <f>[1]Sheet1!H10</f>
        <v>5882989576.138937</v>
      </c>
      <c r="AG21" s="710">
        <f>[1]Sheet1!I10</f>
        <v>7339634558.6728449</v>
      </c>
      <c r="AH21" s="710">
        <f>[1]Sheet1!J10</f>
        <v>7350379642.5024815</v>
      </c>
      <c r="AI21" s="710">
        <f>[1]Sheet1!K10</f>
        <v>7306227872.850503</v>
      </c>
      <c r="AJ21" s="710">
        <f>[1]Sheet1!L10</f>
        <v>10116977505.30201</v>
      </c>
      <c r="AK21" s="710">
        <f>[1]Sheet1!M10</f>
        <v>10741658333.617458</v>
      </c>
      <c r="AL21" s="710">
        <f>[1]Sheet1!N10</f>
        <v>10250828957.770872</v>
      </c>
      <c r="AM21" s="711">
        <f>[1]Sheet1!O10</f>
        <v>14986674178.339043</v>
      </c>
      <c r="AN21" s="710">
        <f>[1]Sheet1!P10</f>
        <v>13061315086.628635</v>
      </c>
      <c r="AO21" s="710">
        <f>[1]Sheet1!Q10</f>
        <v>14631924958.799568</v>
      </c>
      <c r="AP21" s="710">
        <f>[1]Sheet1!R10</f>
        <v>13156555275.623068</v>
      </c>
      <c r="AQ21" s="710">
        <f>[1]Sheet1!S10</f>
        <v>15577528352.556856</v>
      </c>
      <c r="AR21" s="710">
        <f>[1]Sheet1!T10</f>
        <v>15116256376.278467</v>
      </c>
      <c r="AS21" s="710">
        <f>[1]Sheet1!U10</f>
        <v>16848124044.25</v>
      </c>
      <c r="AT21" s="710">
        <f>[1]Sheet1!V10</f>
        <v>15477471209.221245</v>
      </c>
      <c r="AU21" s="710">
        <f>[1]Sheet1!W10</f>
        <v>16283207669.415794</v>
      </c>
      <c r="AV21" s="710">
        <f>[1]Sheet1!X10</f>
        <v>11277991785.360001</v>
      </c>
      <c r="AW21" s="710">
        <f>[1]Sheet1!Y10</f>
        <v>11745834571.514782</v>
      </c>
      <c r="AX21" s="710">
        <f>[1]Sheet1!Z10</f>
        <v>13698578517.58</v>
      </c>
      <c r="AY21" s="711">
        <f>[1]Sheet1!AA10</f>
        <v>14321493327.22994</v>
      </c>
      <c r="AZ21" s="710">
        <f>[1]Sheet1!AB10</f>
        <v>12355697464.507282</v>
      </c>
      <c r="BA21" s="710">
        <f>[1]Sheet1!AC10</f>
        <v>19079293926.695107</v>
      </c>
      <c r="BB21" s="710">
        <f>[1]Sheet1!AD10</f>
        <v>16500723185.213974</v>
      </c>
      <c r="BC21" s="710">
        <f>[1]Sheet1!AE10</f>
        <v>14389240956.131454</v>
      </c>
      <c r="BD21" s="710">
        <f>[1]Sheet1!AF10</f>
        <v>13717926555.604156</v>
      </c>
      <c r="BE21" s="710">
        <f>[1]Sheet1!AG10</f>
        <v>14354371612.274496</v>
      </c>
      <c r="BF21" s="711">
        <f>[1]Sheet1!AH10</f>
        <v>13963938586.991974</v>
      </c>
      <c r="BG21" s="710">
        <f>[1]Sheet1!AI10</f>
        <v>12744302919.400642</v>
      </c>
      <c r="BH21" s="711">
        <f>[1]Sheet1!AJ10</f>
        <v>14668541774.624012</v>
      </c>
      <c r="BI21" s="710">
        <f>[1]Sheet1!AK10</f>
        <v>15458216995.578474</v>
      </c>
      <c r="BJ21" s="710">
        <f>[1]Sheet1!AL10</f>
        <v>13477672424.493309</v>
      </c>
    </row>
    <row r="22" spans="1:62">
      <c r="A22" s="1232"/>
      <c r="B22" s="708" t="s">
        <v>632</v>
      </c>
      <c r="C22" s="709">
        <v>5029144022.8299999</v>
      </c>
      <c r="D22" s="709">
        <v>4659707797.0057936</v>
      </c>
      <c r="E22" s="709">
        <v>5013159038.240222</v>
      </c>
      <c r="F22" s="709">
        <v>4974901390.6928501</v>
      </c>
      <c r="G22" s="709">
        <v>5326603035.7903214</v>
      </c>
      <c r="H22" s="709">
        <v>4814826742.0265999</v>
      </c>
      <c r="I22" s="709">
        <v>4570241936.8800001</v>
      </c>
      <c r="J22" s="709">
        <v>4720260570.6593542</v>
      </c>
      <c r="K22" s="709">
        <v>4290143940.5979323</v>
      </c>
      <c r="L22" s="709">
        <v>4990648091.0911713</v>
      </c>
      <c r="M22" s="709">
        <v>4971674053.1599998</v>
      </c>
      <c r="N22" s="709">
        <v>5301826292.1268196</v>
      </c>
      <c r="O22" s="709">
        <v>5472642929.4098358</v>
      </c>
      <c r="P22" s="709">
        <v>4997870549.1011705</v>
      </c>
      <c r="Q22" s="709">
        <v>4552955646.8838596</v>
      </c>
      <c r="R22" s="709">
        <v>4767652462.83078</v>
      </c>
      <c r="S22" s="709">
        <v>4401919265.5546427</v>
      </c>
      <c r="T22" s="709">
        <v>4039476214.6070251</v>
      </c>
      <c r="U22" s="709">
        <v>4392099374.2873812</v>
      </c>
      <c r="V22" s="709">
        <v>4720898648.3668385</v>
      </c>
      <c r="W22" s="709">
        <v>4558933713.1547356</v>
      </c>
      <c r="X22" s="709">
        <v>5057963962.4332113</v>
      </c>
      <c r="Y22" s="709">
        <v>5239069022.55511</v>
      </c>
      <c r="Z22" s="709">
        <v>5413893287.3810501</v>
      </c>
      <c r="AA22" s="709">
        <v>5337292095.71</v>
      </c>
      <c r="AB22" s="709">
        <v>5091273740.5265732</v>
      </c>
      <c r="AC22" s="709">
        <v>5823632756.2140093</v>
      </c>
      <c r="AD22" s="710">
        <f>[1]Sheet1!F11</f>
        <v>4843030684.2697601</v>
      </c>
      <c r="AE22" s="710">
        <f>[1]Sheet1!G11</f>
        <v>6254407304.3738184</v>
      </c>
      <c r="AF22" s="710">
        <f>[1]Sheet1!H11</f>
        <v>6159046901.0576229</v>
      </c>
      <c r="AG22" s="710">
        <f>[1]Sheet1!I11</f>
        <v>7024203345.3437881</v>
      </c>
      <c r="AH22" s="710">
        <f>[1]Sheet1!J11</f>
        <v>7397696482.2955742</v>
      </c>
      <c r="AI22" s="710">
        <f>[1]Sheet1!K11</f>
        <v>8077750229.5945263</v>
      </c>
      <c r="AJ22" s="710">
        <f>[1]Sheet1!L11</f>
        <v>9768161239.7117939</v>
      </c>
      <c r="AK22" s="710">
        <f>[1]Sheet1!M11</f>
        <v>10614708571.164429</v>
      </c>
      <c r="AL22" s="710">
        <f>[1]Sheet1!N11</f>
        <v>10717966480.95208</v>
      </c>
      <c r="AM22" s="711">
        <f>[1]Sheet1!O11</f>
        <v>15191087289.652748</v>
      </c>
      <c r="AN22" s="710">
        <f>[1]Sheet1!P11</f>
        <v>13031954501.694199</v>
      </c>
      <c r="AO22" s="710">
        <f>[1]Sheet1!Q11</f>
        <v>14462437156.340279</v>
      </c>
      <c r="AP22" s="710">
        <f>[1]Sheet1!R11</f>
        <v>13469509150.012331</v>
      </c>
      <c r="AQ22" s="710">
        <f>[1]Sheet1!S11</f>
        <v>16355144869.214275</v>
      </c>
      <c r="AR22" s="710">
        <f>[1]Sheet1!T11</f>
        <v>14134828655.349125</v>
      </c>
      <c r="AS22" s="710">
        <f>[1]Sheet1!U11</f>
        <v>17361063296.360001</v>
      </c>
      <c r="AT22" s="710">
        <f>[1]Sheet1!V11</f>
        <v>15736685333.922718</v>
      </c>
      <c r="AU22" s="710">
        <f>[1]Sheet1!W11</f>
        <v>17514218990.63316</v>
      </c>
      <c r="AV22" s="710">
        <f>[1]Sheet1!X11</f>
        <v>10740120122.42</v>
      </c>
      <c r="AW22" s="710">
        <f>[1]Sheet1!Y11</f>
        <v>10980013308.987309</v>
      </c>
      <c r="AX22" s="710">
        <f>[1]Sheet1!Z11</f>
        <v>14061562297.59</v>
      </c>
      <c r="AY22" s="711">
        <f>[1]Sheet1!AA11</f>
        <v>12708765816.605194</v>
      </c>
      <c r="AZ22" s="710">
        <f>[1]Sheet1!AB11</f>
        <v>13380561933.20113</v>
      </c>
      <c r="BA22" s="710">
        <f>[1]Sheet1!AC11</f>
        <v>19263258275.203686</v>
      </c>
      <c r="BB22" s="710">
        <f>[1]Sheet1!AD11</f>
        <v>17849098079.854336</v>
      </c>
      <c r="BC22" s="710">
        <f>[1]Sheet1!AE11</f>
        <v>16484301541.383751</v>
      </c>
      <c r="BD22" s="710">
        <f>[1]Sheet1!AF11</f>
        <v>14725169329.948509</v>
      </c>
      <c r="BE22" s="710">
        <f>[1]Sheet1!AG11</f>
        <v>14190808596.477299</v>
      </c>
      <c r="BF22" s="711">
        <f>[1]Sheet1!AH11</f>
        <v>14739042764.515102</v>
      </c>
      <c r="BG22" s="710">
        <f>[1]Sheet1!AI11</f>
        <v>14057048179.551086</v>
      </c>
      <c r="BH22" s="711">
        <f>[1]Sheet1!AJ11</f>
        <v>14679966913.992149</v>
      </c>
      <c r="BI22" s="710">
        <f>[1]Sheet1!AK11</f>
        <v>13868242788.158173</v>
      </c>
      <c r="BJ22" s="710">
        <f>[1]Sheet1!AL11</f>
        <v>12636057396.647324</v>
      </c>
    </row>
    <row r="23" spans="1:62">
      <c r="A23" s="1232"/>
      <c r="B23" s="708" t="s">
        <v>633</v>
      </c>
      <c r="C23" s="709">
        <v>4592993781.3599997</v>
      </c>
      <c r="D23" s="709">
        <v>4442072851.827589</v>
      </c>
      <c r="E23" s="709">
        <v>4634083016.3779688</v>
      </c>
      <c r="F23" s="709">
        <v>4694401228.8195324</v>
      </c>
      <c r="G23" s="709">
        <v>4811354427.0369587</v>
      </c>
      <c r="H23" s="709">
        <v>4470859271.3211288</v>
      </c>
      <c r="I23" s="709">
        <v>4706706769.6300001</v>
      </c>
      <c r="J23" s="709">
        <v>4569955623.6951542</v>
      </c>
      <c r="K23" s="709">
        <v>4150710154.2595978</v>
      </c>
      <c r="L23" s="709">
        <v>4525274209.6746788</v>
      </c>
      <c r="M23" s="709">
        <v>4250051625.0300002</v>
      </c>
      <c r="N23" s="709">
        <v>4432229843.552166</v>
      </c>
      <c r="O23" s="709">
        <v>4518732527.4640474</v>
      </c>
      <c r="P23" s="709">
        <v>4549754525.997282</v>
      </c>
      <c r="Q23" s="709">
        <v>4463842964.5168409</v>
      </c>
      <c r="R23" s="709">
        <v>4208267494.6148987</v>
      </c>
      <c r="S23" s="709">
        <v>4160463449.2114482</v>
      </c>
      <c r="T23" s="709">
        <v>4061578542.6695132</v>
      </c>
      <c r="U23" s="709">
        <v>5147040240.3187122</v>
      </c>
      <c r="V23" s="709">
        <v>4973854209.3377361</v>
      </c>
      <c r="W23" s="709">
        <v>5073636599.3424158</v>
      </c>
      <c r="X23" s="709">
        <v>4964876417.3303633</v>
      </c>
      <c r="Y23" s="709">
        <v>5289086638.6892061</v>
      </c>
      <c r="Z23" s="709">
        <v>5864696393.6944742</v>
      </c>
      <c r="AA23" s="709">
        <v>5752253819.5</v>
      </c>
      <c r="AB23" s="709">
        <v>5926503791.0765171</v>
      </c>
      <c r="AC23" s="709">
        <v>5952983298.0126076</v>
      </c>
      <c r="AD23" s="710">
        <f>[1]Sheet1!F12</f>
        <v>5729180199.0878363</v>
      </c>
      <c r="AE23" s="710">
        <f>[1]Sheet1!G12</f>
        <v>7900147186.1527996</v>
      </c>
      <c r="AF23" s="710">
        <f>[1]Sheet1!H12</f>
        <v>8585570309.6875601</v>
      </c>
      <c r="AG23" s="710">
        <f>[1]Sheet1!I12</f>
        <v>8930668108.0737476</v>
      </c>
      <c r="AH23" s="710">
        <f>[1]Sheet1!J12</f>
        <v>9439127942.3767548</v>
      </c>
      <c r="AI23" s="710">
        <f>[1]Sheet1!K12</f>
        <v>9388284311.076086</v>
      </c>
      <c r="AJ23" s="710">
        <f>[1]Sheet1!L12</f>
        <v>10307551725.170462</v>
      </c>
      <c r="AK23" s="710">
        <f>[1]Sheet1!M12</f>
        <v>11154492711.664536</v>
      </c>
      <c r="AL23" s="710">
        <f>[1]Sheet1!N12</f>
        <v>12072925124.068768</v>
      </c>
      <c r="AM23" s="711">
        <f>[1]Sheet1!O12</f>
        <v>18663800194.512589</v>
      </c>
      <c r="AN23" s="710">
        <f>[1]Sheet1!P12</f>
        <v>15973285265.901587</v>
      </c>
      <c r="AO23" s="710">
        <f>[1]Sheet1!Q12</f>
        <v>17016911606.731144</v>
      </c>
      <c r="AP23" s="710">
        <f>[1]Sheet1!R12</f>
        <v>15949318179.56711</v>
      </c>
      <c r="AQ23" s="710">
        <f>[1]Sheet1!S12</f>
        <v>17398306839.114624</v>
      </c>
      <c r="AR23" s="710">
        <f>[1]Sheet1!T12</f>
        <v>17471517474.379215</v>
      </c>
      <c r="AS23" s="710">
        <f>[1]Sheet1!U12</f>
        <v>19222034890.509998</v>
      </c>
      <c r="AT23" s="710">
        <f>[1]Sheet1!V12</f>
        <v>17525495532.387341</v>
      </c>
      <c r="AU23" s="710">
        <f>[1]Sheet1!W12</f>
        <v>19922539749.491051</v>
      </c>
      <c r="AV23" s="710">
        <f>[1]Sheet1!X12</f>
        <v>20056582927.57</v>
      </c>
      <c r="AW23" s="710">
        <f>[1]Sheet1!Y12</f>
        <v>18886827265.17057</v>
      </c>
      <c r="AX23" s="710">
        <f>[1]Sheet1!Z12</f>
        <v>22536582483.790001</v>
      </c>
      <c r="AY23" s="711">
        <f>[1]Sheet1!AA12</f>
        <v>22883315140.14986</v>
      </c>
      <c r="AZ23" s="710">
        <f>[1]Sheet1!AB12</f>
        <v>20317698243.530338</v>
      </c>
      <c r="BA23" s="710">
        <f>[1]Sheet1!AC12</f>
        <v>22173875961.231842</v>
      </c>
      <c r="BB23" s="710">
        <f>[1]Sheet1!AD12</f>
        <v>18983557400.150448</v>
      </c>
      <c r="BC23" s="710">
        <f>[1]Sheet1!AE12</f>
        <v>18741801520.749725</v>
      </c>
      <c r="BD23" s="710">
        <f>[1]Sheet1!AF12</f>
        <v>19345719540.612186</v>
      </c>
      <c r="BE23" s="710">
        <f>[1]Sheet1!AG12</f>
        <v>19882335138.21624</v>
      </c>
      <c r="BF23" s="711">
        <f>[1]Sheet1!AH12</f>
        <v>17786080896.410061</v>
      </c>
      <c r="BG23" s="710">
        <f>[1]Sheet1!AI12</f>
        <v>16915783892.817562</v>
      </c>
      <c r="BH23" s="711">
        <f>[1]Sheet1!AJ12</f>
        <v>18166677418.114883</v>
      </c>
      <c r="BI23" s="710">
        <f>[1]Sheet1!AK12</f>
        <v>17982910388.924381</v>
      </c>
      <c r="BJ23" s="710">
        <f>[1]Sheet1!AL12</f>
        <v>16076532923.671238</v>
      </c>
    </row>
    <row r="24" spans="1:62" ht="15" thickBot="1">
      <c r="A24" s="1232"/>
      <c r="B24" s="712" t="s">
        <v>634</v>
      </c>
      <c r="C24" s="713">
        <v>2528762442.9000001</v>
      </c>
      <c r="D24" s="713">
        <v>2069495463.2624767</v>
      </c>
      <c r="E24" s="713">
        <v>2276041287.1130638</v>
      </c>
      <c r="F24" s="713">
        <v>2357436823.0393786</v>
      </c>
      <c r="G24" s="713">
        <v>2324964186.2985415</v>
      </c>
      <c r="H24" s="713">
        <v>2086899977.3689361</v>
      </c>
      <c r="I24" s="713">
        <v>2201513317.9099998</v>
      </c>
      <c r="J24" s="713">
        <v>2133608596.344707</v>
      </c>
      <c r="K24" s="713">
        <v>1971318742.264919</v>
      </c>
      <c r="L24" s="713">
        <v>2131913266.5771565</v>
      </c>
      <c r="M24" s="713">
        <v>2115241523.6700001</v>
      </c>
      <c r="N24" s="713">
        <v>2182121286.684514</v>
      </c>
      <c r="O24" s="713">
        <v>2267479157.3583622</v>
      </c>
      <c r="P24" s="713">
        <v>2180743282.0065966</v>
      </c>
      <c r="Q24" s="713">
        <v>2283875172.7945094</v>
      </c>
      <c r="R24" s="713">
        <v>2240538458.9098482</v>
      </c>
      <c r="S24" s="713">
        <v>2065379434.7327919</v>
      </c>
      <c r="T24" s="713">
        <v>1939140211.2379739</v>
      </c>
      <c r="U24" s="713">
        <v>1932175232.8860788</v>
      </c>
      <c r="V24" s="713">
        <v>1906115467.8617105</v>
      </c>
      <c r="W24" s="713">
        <v>1968868496.7525952</v>
      </c>
      <c r="X24" s="713">
        <v>2097254575.9874446</v>
      </c>
      <c r="Y24" s="713">
        <v>2230292005.4298811</v>
      </c>
      <c r="Z24" s="713">
        <v>2371860719.298172</v>
      </c>
      <c r="AA24" s="713">
        <v>2417119043.2600002</v>
      </c>
      <c r="AB24" s="713">
        <v>2323879699.2573576</v>
      </c>
      <c r="AC24" s="713">
        <v>3111272795.84726</v>
      </c>
      <c r="AD24" s="714">
        <f>[1]Sheet1!F13</f>
        <v>2504638965.3352942</v>
      </c>
      <c r="AE24" s="714">
        <f>[1]Sheet1!G13</f>
        <v>3166638248.6329174</v>
      </c>
      <c r="AF24" s="714">
        <f>[1]Sheet1!H13</f>
        <v>3085647560.529881</v>
      </c>
      <c r="AG24" s="714">
        <f>[1]Sheet1!I13</f>
        <v>3962374643.51826</v>
      </c>
      <c r="AH24" s="714">
        <f>[1]Sheet1!J13</f>
        <v>3747913388.2087226</v>
      </c>
      <c r="AI24" s="714">
        <f>[1]Sheet1!K13</f>
        <v>4023954368.177968</v>
      </c>
      <c r="AJ24" s="714">
        <f>[1]Sheet1!L13</f>
        <v>5023154974.1252823</v>
      </c>
      <c r="AK24" s="714">
        <f>[1]Sheet1!M13</f>
        <v>5414054831.793643</v>
      </c>
      <c r="AL24" s="714">
        <f>[1]Sheet1!N13</f>
        <v>4515521383.6182995</v>
      </c>
      <c r="AM24" s="715">
        <f>[1]Sheet1!O13</f>
        <v>7349488900.2852821</v>
      </c>
      <c r="AN24" s="714">
        <f>[1]Sheet1!P13</f>
        <v>6521223475.1093349</v>
      </c>
      <c r="AO24" s="714">
        <f>[1]Sheet1!Q13</f>
        <v>6844075709.5363083</v>
      </c>
      <c r="AP24" s="714">
        <f>[1]Sheet1!R13</f>
        <v>4673077360.6253176</v>
      </c>
      <c r="AQ24" s="714">
        <f>[1]Sheet1!S13</f>
        <v>2497061511.1197701</v>
      </c>
      <c r="AR24" s="714">
        <f>[1]Sheet1!T13</f>
        <v>5997087304.9493179</v>
      </c>
      <c r="AS24" s="714">
        <f>[1]Sheet1!U13</f>
        <v>6537964688.1199999</v>
      </c>
      <c r="AT24" s="714">
        <f>[1]Sheet1!V13</f>
        <v>6157547323.4798136</v>
      </c>
      <c r="AU24" s="714">
        <f>[1]Sheet1!W13</f>
        <v>6852285578.9056034</v>
      </c>
      <c r="AV24" s="714">
        <f>[1]Sheet1!X13</f>
        <v>4670756190.0299997</v>
      </c>
      <c r="AW24" s="714">
        <f>[1]Sheet1!Y13</f>
        <v>5205663757.2833767</v>
      </c>
      <c r="AX24" s="714">
        <f>[1]Sheet1!Z13</f>
        <v>6713444079.6300001</v>
      </c>
      <c r="AY24" s="715">
        <f>[1]Sheet1!AA13</f>
        <v>6524736471.5181065</v>
      </c>
      <c r="AZ24" s="714">
        <f>[1]Sheet1!AB13</f>
        <v>6407269706.8082008</v>
      </c>
      <c r="BA24" s="714">
        <f>[1]Sheet1!AC13</f>
        <v>9027812618.5352516</v>
      </c>
      <c r="BB24" s="714">
        <f>[1]Sheet1!AD13</f>
        <v>8029281658.5111599</v>
      </c>
      <c r="BC24" s="714">
        <f>[1]Sheet1!AE13</f>
        <v>9000322606.3053951</v>
      </c>
      <c r="BD24" s="714">
        <f>[1]Sheet1!AF13</f>
        <v>7193981356.843214</v>
      </c>
      <c r="BE24" s="714">
        <f>[1]Sheet1!AG13</f>
        <v>6454807434.5716591</v>
      </c>
      <c r="BF24" s="715">
        <f>[1]Sheet1!AH13</f>
        <v>6424534476.3065014</v>
      </c>
      <c r="BG24" s="714">
        <f>[1]Sheet1!AI13</f>
        <v>6137086490.2094221</v>
      </c>
      <c r="BH24" s="715">
        <f>[1]Sheet1!AJ13</f>
        <v>6594430946.6060905</v>
      </c>
      <c r="BI24" s="714">
        <f>[1]Sheet1!AK13</f>
        <v>6502911217.2066774</v>
      </c>
      <c r="BJ24" s="714">
        <f>[1]Sheet1!AL13</f>
        <v>5804684963.0515461</v>
      </c>
    </row>
    <row r="25" spans="1:62" ht="15" thickBot="1">
      <c r="A25" s="1233"/>
      <c r="B25" s="716" t="s">
        <v>25</v>
      </c>
      <c r="C25" s="717">
        <f t="shared" ref="C25:BJ25" si="1">SUM(C14:C24)</f>
        <v>71973980014.990005</v>
      </c>
      <c r="D25" s="717">
        <f t="shared" si="1"/>
        <v>66218113925.005714</v>
      </c>
      <c r="E25" s="717">
        <f t="shared" si="1"/>
        <v>68995958826.773621</v>
      </c>
      <c r="F25" s="717">
        <f t="shared" si="1"/>
        <v>69398680510.035522</v>
      </c>
      <c r="G25" s="717">
        <f t="shared" si="1"/>
        <v>71981220106.621277</v>
      </c>
      <c r="H25" s="717">
        <f t="shared" si="1"/>
        <v>66051251926.350754</v>
      </c>
      <c r="I25" s="717">
        <f t="shared" si="1"/>
        <v>68527867720.039993</v>
      </c>
      <c r="J25" s="717">
        <f t="shared" si="1"/>
        <v>66744098259.066429</v>
      </c>
      <c r="K25" s="717">
        <f t="shared" si="1"/>
        <v>62370999985.098541</v>
      </c>
      <c r="L25" s="717">
        <f t="shared" si="1"/>
        <v>67922595793.123268</v>
      </c>
      <c r="M25" s="717">
        <f t="shared" si="1"/>
        <v>66903222544.470001</v>
      </c>
      <c r="N25" s="717">
        <f t="shared" si="1"/>
        <v>70370332131.327438</v>
      </c>
      <c r="O25" s="717">
        <f t="shared" si="1"/>
        <v>72301764023.161606</v>
      </c>
      <c r="P25" s="717">
        <f t="shared" si="1"/>
        <v>66332380155.348061</v>
      </c>
      <c r="Q25" s="717">
        <f t="shared" si="1"/>
        <v>64494197397.855621</v>
      </c>
      <c r="R25" s="717">
        <f t="shared" si="1"/>
        <v>63815981309.232971</v>
      </c>
      <c r="S25" s="717">
        <f t="shared" si="1"/>
        <v>63372796486.255798</v>
      </c>
      <c r="T25" s="717">
        <f t="shared" si="1"/>
        <v>57716454957.612167</v>
      </c>
      <c r="U25" s="717">
        <f t="shared" si="1"/>
        <v>65285134229.721649</v>
      </c>
      <c r="V25" s="717">
        <f t="shared" si="1"/>
        <v>68073671783.036438</v>
      </c>
      <c r="W25" s="717">
        <f t="shared" si="1"/>
        <v>68011634389.905602</v>
      </c>
      <c r="X25" s="717">
        <f t="shared" si="1"/>
        <v>68505612883.462601</v>
      </c>
      <c r="Y25" s="717">
        <f t="shared" si="1"/>
        <v>73105881169.802338</v>
      </c>
      <c r="Z25" s="717">
        <f t="shared" si="1"/>
        <v>77662339983.249176</v>
      </c>
      <c r="AA25" s="717">
        <f t="shared" si="1"/>
        <v>76229558784.729996</v>
      </c>
      <c r="AB25" s="717">
        <f t="shared" si="1"/>
        <v>74905504210.193008</v>
      </c>
      <c r="AC25" s="717">
        <f t="shared" si="1"/>
        <v>83184908194.877869</v>
      </c>
      <c r="AD25" s="717">
        <f t="shared" si="1"/>
        <v>75011559799.242035</v>
      </c>
      <c r="AE25" s="717">
        <f t="shared" si="1"/>
        <v>99897187627.567474</v>
      </c>
      <c r="AF25" s="717">
        <f t="shared" si="1"/>
        <v>114351684556.22337</v>
      </c>
      <c r="AG25" s="717">
        <f t="shared" si="1"/>
        <v>121019950433.29202</v>
      </c>
      <c r="AH25" s="717">
        <f t="shared" si="1"/>
        <v>122678626729.61392</v>
      </c>
      <c r="AI25" s="717">
        <f t="shared" si="1"/>
        <v>128295167154.66957</v>
      </c>
      <c r="AJ25" s="717">
        <f t="shared" si="1"/>
        <v>149227014509.59409</v>
      </c>
      <c r="AK25" s="717">
        <f t="shared" si="1"/>
        <v>161397918369.26294</v>
      </c>
      <c r="AL25" s="717">
        <f t="shared" si="1"/>
        <v>165458614209.72287</v>
      </c>
      <c r="AM25" s="718">
        <f t="shared" si="1"/>
        <v>256123844967.20618</v>
      </c>
      <c r="AN25" s="717">
        <f t="shared" si="1"/>
        <v>208039621033.30121</v>
      </c>
      <c r="AO25" s="717">
        <f t="shared" si="1"/>
        <v>235097243601.80692</v>
      </c>
      <c r="AP25" s="717">
        <f t="shared" si="1"/>
        <v>212719868093.12894</v>
      </c>
      <c r="AQ25" s="717">
        <f t="shared" si="1"/>
        <v>240701145680.80295</v>
      </c>
      <c r="AR25" s="717">
        <f t="shared" si="1"/>
        <v>234632275107.71667</v>
      </c>
      <c r="AS25" s="717">
        <f t="shared" si="1"/>
        <v>261603797967.27002</v>
      </c>
      <c r="AT25" s="717">
        <f t="shared" si="1"/>
        <v>247828674032.08847</v>
      </c>
      <c r="AU25" s="717">
        <f t="shared" si="1"/>
        <v>281329821786.48859</v>
      </c>
      <c r="AV25" s="717">
        <f t="shared" si="1"/>
        <v>260857702551.35004</v>
      </c>
      <c r="AW25" s="717">
        <f t="shared" si="1"/>
        <v>257772133216.96075</v>
      </c>
      <c r="AX25" s="717">
        <f t="shared" si="1"/>
        <v>275890844457.33002</v>
      </c>
      <c r="AY25" s="718">
        <f t="shared" si="1"/>
        <v>287666517522.12897</v>
      </c>
      <c r="AZ25" s="717">
        <f t="shared" si="1"/>
        <v>266448848025.10321</v>
      </c>
      <c r="BA25" s="717">
        <f t="shared" si="1"/>
        <v>307549712092.33069</v>
      </c>
      <c r="BB25" s="717">
        <f t="shared" si="1"/>
        <v>277930600244.65308</v>
      </c>
      <c r="BC25" s="717">
        <f t="shared" si="1"/>
        <v>281166703878.76221</v>
      </c>
      <c r="BD25" s="717">
        <f t="shared" si="1"/>
        <v>257661322246.50583</v>
      </c>
      <c r="BE25" s="717">
        <f t="shared" si="1"/>
        <v>266919821491.72202</v>
      </c>
      <c r="BF25" s="718">
        <f t="shared" si="1"/>
        <v>246642134347.46307</v>
      </c>
      <c r="BG25" s="717">
        <f t="shared" si="1"/>
        <v>227310080120.74353</v>
      </c>
      <c r="BH25" s="718">
        <f t="shared" si="1"/>
        <v>252806388856.50195</v>
      </c>
      <c r="BI25" s="717">
        <f t="shared" si="1"/>
        <v>262950639957.81177</v>
      </c>
      <c r="BJ25" s="717">
        <f t="shared" si="1"/>
        <v>230865406469.1955</v>
      </c>
    </row>
    <row r="26" spans="1:62" s="719" customFormat="1">
      <c r="C26" s="719">
        <v>0</v>
      </c>
      <c r="D26" s="719">
        <v>0</v>
      </c>
      <c r="E26" s="719">
        <v>0</v>
      </c>
      <c r="F26" s="719">
        <v>0</v>
      </c>
      <c r="G26" s="719">
        <v>0</v>
      </c>
      <c r="H26" s="719">
        <v>0</v>
      </c>
      <c r="I26" s="719">
        <v>0</v>
      </c>
      <c r="J26" s="719">
        <v>0</v>
      </c>
      <c r="K26" s="719">
        <v>0</v>
      </c>
      <c r="L26" s="719">
        <v>0</v>
      </c>
      <c r="M26" s="719">
        <v>0</v>
      </c>
      <c r="N26" s="719">
        <v>0</v>
      </c>
      <c r="O26" s="719">
        <v>0</v>
      </c>
      <c r="P26" s="719">
        <v>0</v>
      </c>
      <c r="Q26" s="719">
        <v>0</v>
      </c>
      <c r="R26" s="719">
        <v>0</v>
      </c>
      <c r="S26" s="719">
        <v>0</v>
      </c>
      <c r="T26" s="719">
        <v>0</v>
      </c>
      <c r="U26" s="719">
        <v>0</v>
      </c>
      <c r="V26" s="719">
        <v>0</v>
      </c>
      <c r="W26" s="719">
        <v>0</v>
      </c>
      <c r="X26" s="719">
        <v>0</v>
      </c>
      <c r="Y26" s="719">
        <v>0</v>
      </c>
      <c r="Z26" s="719">
        <v>0</v>
      </c>
      <c r="AA26" s="719">
        <v>0</v>
      </c>
      <c r="AB26" s="719">
        <v>0</v>
      </c>
      <c r="AC26" s="719">
        <v>0</v>
      </c>
      <c r="AD26" s="719">
        <v>0</v>
      </c>
      <c r="AE26" s="719">
        <f>AE25</f>
        <v>99897187627.567474</v>
      </c>
      <c r="AF26" s="719">
        <v>0</v>
      </c>
      <c r="AG26" s="719">
        <v>0</v>
      </c>
      <c r="AH26" s="719">
        <v>0</v>
      </c>
      <c r="AI26" s="719">
        <v>0</v>
      </c>
      <c r="AJ26" s="719">
        <v>0</v>
      </c>
      <c r="AK26" s="719">
        <v>0</v>
      </c>
      <c r="AL26" s="719">
        <v>0</v>
      </c>
      <c r="AM26" s="719">
        <v>0</v>
      </c>
      <c r="AN26" s="719">
        <v>0</v>
      </c>
      <c r="AO26" s="719">
        <v>0</v>
      </c>
      <c r="AP26" s="719">
        <v>0</v>
      </c>
      <c r="AQ26" s="719">
        <v>0</v>
      </c>
      <c r="AR26" s="719">
        <v>0</v>
      </c>
      <c r="AS26" s="719">
        <v>0</v>
      </c>
      <c r="AT26" s="719">
        <v>0</v>
      </c>
      <c r="AU26" s="719">
        <v>0</v>
      </c>
      <c r="AV26" s="719">
        <v>0</v>
      </c>
      <c r="AW26" s="719">
        <v>0</v>
      </c>
      <c r="AX26" s="719">
        <v>0</v>
      </c>
      <c r="AY26" s="719">
        <v>0</v>
      </c>
      <c r="AZ26" s="719">
        <v>0</v>
      </c>
      <c r="BA26" s="719">
        <v>0</v>
      </c>
      <c r="BB26" s="719">
        <v>0</v>
      </c>
      <c r="BC26" s="719">
        <v>0</v>
      </c>
      <c r="BD26" s="719">
        <v>0</v>
      </c>
      <c r="BE26" s="719">
        <v>0</v>
      </c>
      <c r="BF26" s="719">
        <v>0</v>
      </c>
      <c r="BG26" s="719">
        <v>0</v>
      </c>
      <c r="BH26" s="719">
        <v>0</v>
      </c>
      <c r="BI26" s="719">
        <v>0</v>
      </c>
      <c r="BJ26" s="719">
        <v>0</v>
      </c>
    </row>
    <row r="27" spans="1:62" ht="15" thickBot="1">
      <c r="B27" s="377" t="s">
        <v>635</v>
      </c>
    </row>
    <row r="28" spans="1:62" s="493" customFormat="1" ht="15" thickBot="1">
      <c r="A28" s="1231" t="s">
        <v>635</v>
      </c>
      <c r="B28" s="700" t="str">
        <f>B13</f>
        <v>DISCO</v>
      </c>
      <c r="C28" s="701">
        <f t="shared" ref="C28:BJ28" si="2">C13</f>
        <v>44197</v>
      </c>
      <c r="D28" s="701">
        <f t="shared" si="2"/>
        <v>44228</v>
      </c>
      <c r="E28" s="701">
        <f t="shared" si="2"/>
        <v>44256</v>
      </c>
      <c r="F28" s="701">
        <f t="shared" si="2"/>
        <v>44287</v>
      </c>
      <c r="G28" s="701">
        <f t="shared" si="2"/>
        <v>44317</v>
      </c>
      <c r="H28" s="701">
        <f t="shared" si="2"/>
        <v>44348</v>
      </c>
      <c r="I28" s="701">
        <f t="shared" si="2"/>
        <v>44378</v>
      </c>
      <c r="J28" s="701">
        <f t="shared" si="2"/>
        <v>44409</v>
      </c>
      <c r="K28" s="701">
        <f t="shared" si="2"/>
        <v>44440</v>
      </c>
      <c r="L28" s="701">
        <f t="shared" si="2"/>
        <v>44470</v>
      </c>
      <c r="M28" s="701">
        <f t="shared" si="2"/>
        <v>44501</v>
      </c>
      <c r="N28" s="701">
        <f t="shared" si="2"/>
        <v>44531</v>
      </c>
      <c r="O28" s="701">
        <f t="shared" si="2"/>
        <v>44562</v>
      </c>
      <c r="P28" s="701">
        <f t="shared" si="2"/>
        <v>44593</v>
      </c>
      <c r="Q28" s="701">
        <f t="shared" si="2"/>
        <v>44621</v>
      </c>
      <c r="R28" s="701">
        <f t="shared" si="2"/>
        <v>44652</v>
      </c>
      <c r="S28" s="701">
        <f t="shared" si="2"/>
        <v>44682</v>
      </c>
      <c r="T28" s="701">
        <f t="shared" si="2"/>
        <v>44713</v>
      </c>
      <c r="U28" s="701">
        <f t="shared" si="2"/>
        <v>44743</v>
      </c>
      <c r="V28" s="701">
        <f t="shared" si="2"/>
        <v>44774</v>
      </c>
      <c r="W28" s="701">
        <f t="shared" si="2"/>
        <v>44805</v>
      </c>
      <c r="X28" s="701">
        <f t="shared" si="2"/>
        <v>44835</v>
      </c>
      <c r="Y28" s="701">
        <f t="shared" si="2"/>
        <v>44866</v>
      </c>
      <c r="Z28" s="701">
        <f t="shared" si="2"/>
        <v>44896</v>
      </c>
      <c r="AA28" s="701">
        <f t="shared" si="2"/>
        <v>44927</v>
      </c>
      <c r="AB28" s="701">
        <f t="shared" si="2"/>
        <v>44958</v>
      </c>
      <c r="AC28" s="701">
        <f t="shared" si="2"/>
        <v>44986</v>
      </c>
      <c r="AD28" s="702">
        <f t="shared" si="2"/>
        <v>45017</v>
      </c>
      <c r="AE28" s="702">
        <f t="shared" si="2"/>
        <v>45047</v>
      </c>
      <c r="AF28" s="702">
        <f t="shared" si="2"/>
        <v>45078</v>
      </c>
      <c r="AG28" s="702">
        <f t="shared" si="2"/>
        <v>45108</v>
      </c>
      <c r="AH28" s="702">
        <f t="shared" si="2"/>
        <v>45139</v>
      </c>
      <c r="AI28" s="702">
        <f t="shared" si="2"/>
        <v>45170</v>
      </c>
      <c r="AJ28" s="702">
        <f t="shared" si="2"/>
        <v>45200</v>
      </c>
      <c r="AK28" s="702">
        <f t="shared" si="2"/>
        <v>45231</v>
      </c>
      <c r="AL28" s="702">
        <f t="shared" si="2"/>
        <v>45261</v>
      </c>
      <c r="AM28" s="703">
        <f t="shared" si="2"/>
        <v>45292</v>
      </c>
      <c r="AN28" s="702">
        <f t="shared" si="2"/>
        <v>45323</v>
      </c>
      <c r="AO28" s="702">
        <f t="shared" si="2"/>
        <v>45352</v>
      </c>
      <c r="AP28" s="702">
        <f t="shared" si="2"/>
        <v>45383</v>
      </c>
      <c r="AQ28" s="702">
        <f t="shared" si="2"/>
        <v>45413</v>
      </c>
      <c r="AR28" s="702">
        <f t="shared" si="2"/>
        <v>45444</v>
      </c>
      <c r="AS28" s="702">
        <f t="shared" si="2"/>
        <v>45474</v>
      </c>
      <c r="AT28" s="702">
        <f t="shared" si="2"/>
        <v>45505</v>
      </c>
      <c r="AU28" s="702">
        <f t="shared" si="2"/>
        <v>45536</v>
      </c>
      <c r="AV28" s="702">
        <f t="shared" si="2"/>
        <v>45566</v>
      </c>
      <c r="AW28" s="702">
        <f t="shared" si="2"/>
        <v>45597</v>
      </c>
      <c r="AX28" s="702">
        <f t="shared" si="2"/>
        <v>45627</v>
      </c>
      <c r="AY28" s="703">
        <f t="shared" si="2"/>
        <v>45658</v>
      </c>
      <c r="AZ28" s="702">
        <f t="shared" si="2"/>
        <v>45689</v>
      </c>
      <c r="BA28" s="702">
        <f t="shared" si="2"/>
        <v>45717</v>
      </c>
      <c r="BB28" s="702">
        <f t="shared" si="2"/>
        <v>45748</v>
      </c>
      <c r="BC28" s="702">
        <f t="shared" si="2"/>
        <v>45778</v>
      </c>
      <c r="BD28" s="702">
        <f t="shared" si="2"/>
        <v>45809</v>
      </c>
      <c r="BE28" s="702">
        <f t="shared" si="2"/>
        <v>45839</v>
      </c>
      <c r="BF28" s="703">
        <f t="shared" si="2"/>
        <v>45870</v>
      </c>
      <c r="BG28" s="702">
        <f t="shared" si="2"/>
        <v>45901</v>
      </c>
      <c r="BH28" s="703">
        <f t="shared" si="2"/>
        <v>45931</v>
      </c>
      <c r="BI28" s="702">
        <f t="shared" si="2"/>
        <v>45962</v>
      </c>
      <c r="BJ28" s="702">
        <f t="shared" si="2"/>
        <v>45992</v>
      </c>
    </row>
    <row r="29" spans="1:62">
      <c r="A29" s="1232"/>
      <c r="B29" s="704" t="str">
        <f t="shared" ref="B29:B39" si="3">B14</f>
        <v>ABUJA</v>
      </c>
      <c r="C29" s="720">
        <v>0.81769999999999998</v>
      </c>
      <c r="D29" s="720">
        <v>0.81769999999999998</v>
      </c>
      <c r="E29" s="720">
        <v>0.81769999999999998</v>
      </c>
      <c r="F29" s="720">
        <v>0.81769999999999998</v>
      </c>
      <c r="G29" s="720">
        <v>0.81769999999999998</v>
      </c>
      <c r="H29" s="720">
        <v>0.81769999999999998</v>
      </c>
      <c r="I29" s="720">
        <v>0.81769999999999998</v>
      </c>
      <c r="J29" s="720">
        <v>0.81769999999999998</v>
      </c>
      <c r="K29" s="720">
        <v>0.81769999999999998</v>
      </c>
      <c r="L29" s="720">
        <v>0.81769999999999998</v>
      </c>
      <c r="M29" s="720">
        <v>0.81769999999999998</v>
      </c>
      <c r="N29" s="720">
        <v>0.81769999999999998</v>
      </c>
      <c r="O29" s="720">
        <v>0.90039999999999998</v>
      </c>
      <c r="P29" s="721">
        <v>0.90039999999999998</v>
      </c>
      <c r="Q29" s="721">
        <v>0.90039999999999998</v>
      </c>
      <c r="R29" s="721">
        <v>0.90039999999999998</v>
      </c>
      <c r="S29" s="721">
        <v>0.90039999999999998</v>
      </c>
      <c r="T29" s="721">
        <v>0.90039999999999998</v>
      </c>
      <c r="U29" s="721">
        <v>0.90039999999999998</v>
      </c>
      <c r="V29" s="721">
        <v>0.90039999999999998</v>
      </c>
      <c r="W29" s="721">
        <v>0.90039999999999998</v>
      </c>
      <c r="X29" s="721">
        <v>0.90039999999999998</v>
      </c>
      <c r="Y29" s="721">
        <v>0.90039999999999998</v>
      </c>
      <c r="Z29" s="721">
        <v>0.90039999999999998</v>
      </c>
      <c r="AA29" s="720">
        <v>0.66520000000000001</v>
      </c>
      <c r="AB29" s="720">
        <v>0.66520000000000001</v>
      </c>
      <c r="AC29" s="720">
        <v>0.66520000000000001</v>
      </c>
      <c r="AD29" s="722">
        <v>0.66520000000000001</v>
      </c>
      <c r="AE29" s="722">
        <v>0.66520000000000001</v>
      </c>
      <c r="AF29" s="722">
        <v>0.66520000000000001</v>
      </c>
      <c r="AG29" s="722">
        <v>0.66520000000000001</v>
      </c>
      <c r="AH29" s="722">
        <v>0.66520000000000001</v>
      </c>
      <c r="AI29" s="722">
        <v>0.66520000000000001</v>
      </c>
      <c r="AJ29" s="722">
        <v>0.66520000000000001</v>
      </c>
      <c r="AK29" s="722">
        <v>0.66520000000000001</v>
      </c>
      <c r="AL29" s="722">
        <v>0.66520000000000001</v>
      </c>
      <c r="AM29" s="723">
        <v>0.1421</v>
      </c>
      <c r="AN29" s="722">
        <v>0.14269999999999999</v>
      </c>
      <c r="AO29" s="722">
        <v>0.14269999999999999</v>
      </c>
      <c r="AP29" s="722">
        <v>0.52270000000000005</v>
      </c>
      <c r="AQ29" s="722">
        <v>0.46899999999999997</v>
      </c>
      <c r="AR29" s="722">
        <v>0.47510000000000002</v>
      </c>
      <c r="AS29" s="722">
        <v>0.47120000000000001</v>
      </c>
      <c r="AT29" s="722">
        <v>0.46079999999999999</v>
      </c>
      <c r="AU29" s="722">
        <v>0.45050000000000001</v>
      </c>
      <c r="AV29" s="722">
        <v>0.43409999999999999</v>
      </c>
      <c r="AW29" s="722">
        <v>0.44540000000000002</v>
      </c>
      <c r="AX29" s="722">
        <v>0.43569999999999998</v>
      </c>
      <c r="AY29" s="723">
        <v>0.40739999999999998</v>
      </c>
      <c r="AZ29" s="722">
        <v>0.42270000000000002</v>
      </c>
      <c r="BA29" s="722">
        <v>0.40560000000000002</v>
      </c>
      <c r="BB29" s="722">
        <v>0.41110000000000002</v>
      </c>
      <c r="BC29" s="722">
        <v>0.41110000000000002</v>
      </c>
      <c r="BD29" s="722">
        <v>0.41099999999999998</v>
      </c>
      <c r="BE29" s="722">
        <v>0.4269</v>
      </c>
      <c r="BF29" s="723">
        <v>0.4194</v>
      </c>
      <c r="BG29" s="722">
        <v>0.4229</v>
      </c>
      <c r="BH29" s="723">
        <v>0.438</v>
      </c>
      <c r="BI29" s="722">
        <v>0.49859999999999999</v>
      </c>
      <c r="BJ29" s="722">
        <v>0.5081</v>
      </c>
    </row>
    <row r="30" spans="1:62">
      <c r="A30" s="1232"/>
      <c r="B30" s="708" t="str">
        <f t="shared" si="3"/>
        <v>BENIN</v>
      </c>
      <c r="C30" s="724">
        <v>0.56189999999999996</v>
      </c>
      <c r="D30" s="724">
        <v>0.56189999999999996</v>
      </c>
      <c r="E30" s="724">
        <v>0.56189999999999996</v>
      </c>
      <c r="F30" s="724">
        <v>0.56189999999999996</v>
      </c>
      <c r="G30" s="724">
        <v>0.56189999999999996</v>
      </c>
      <c r="H30" s="724">
        <v>0.56189999999999996</v>
      </c>
      <c r="I30" s="724">
        <v>0.56189999999999996</v>
      </c>
      <c r="J30" s="724">
        <v>0.56189999999999996</v>
      </c>
      <c r="K30" s="724">
        <v>0.56189999999999996</v>
      </c>
      <c r="L30" s="724">
        <v>0.56189999999999996</v>
      </c>
      <c r="M30" s="724">
        <v>0.56189999999999996</v>
      </c>
      <c r="N30" s="724">
        <v>0.56189999999999996</v>
      </c>
      <c r="O30" s="724">
        <v>0.83530000000000004</v>
      </c>
      <c r="P30" s="725">
        <v>0.83530000000000004</v>
      </c>
      <c r="Q30" s="725">
        <v>0.83530000000000004</v>
      </c>
      <c r="R30" s="725">
        <v>0.83530000000000004</v>
      </c>
      <c r="S30" s="725">
        <v>0.83530000000000004</v>
      </c>
      <c r="T30" s="725">
        <v>0.83530000000000004</v>
      </c>
      <c r="U30" s="725">
        <v>0.83530000000000004</v>
      </c>
      <c r="V30" s="725">
        <v>0.83530000000000004</v>
      </c>
      <c r="W30" s="725">
        <v>0.83530000000000004</v>
      </c>
      <c r="X30" s="725">
        <v>0.83530000000000004</v>
      </c>
      <c r="Y30" s="725">
        <v>0.83530000000000004</v>
      </c>
      <c r="Z30" s="725">
        <v>0.83530000000000004</v>
      </c>
      <c r="AA30" s="724">
        <v>0.50560000000000005</v>
      </c>
      <c r="AB30" s="724">
        <v>0.50560000000000005</v>
      </c>
      <c r="AC30" s="724">
        <v>0.50560000000000005</v>
      </c>
      <c r="AD30" s="726">
        <v>0.50560000000000005</v>
      </c>
      <c r="AE30" s="726">
        <v>0.50560000000000005</v>
      </c>
      <c r="AF30" s="726">
        <v>0.50560000000000005</v>
      </c>
      <c r="AG30" s="726">
        <v>0.50560000000000005</v>
      </c>
      <c r="AH30" s="726">
        <v>0.50560000000000005</v>
      </c>
      <c r="AI30" s="726">
        <v>0.50560000000000005</v>
      </c>
      <c r="AJ30" s="726">
        <v>0.50560000000000005</v>
      </c>
      <c r="AK30" s="726">
        <v>0.50560000000000005</v>
      </c>
      <c r="AL30" s="726">
        <v>0.50560000000000005</v>
      </c>
      <c r="AM30" s="727">
        <v>8.4099999999999994E-2</v>
      </c>
      <c r="AN30" s="726">
        <v>8.4599999999999995E-2</v>
      </c>
      <c r="AO30" s="726">
        <v>8.4599999999999995E-2</v>
      </c>
      <c r="AP30" s="726">
        <v>0.4854</v>
      </c>
      <c r="AQ30" s="726">
        <v>0.4345</v>
      </c>
      <c r="AR30" s="726">
        <v>0.43790000000000001</v>
      </c>
      <c r="AS30" s="726">
        <v>0.43430000000000002</v>
      </c>
      <c r="AT30" s="726">
        <v>0.4219</v>
      </c>
      <c r="AU30" s="726">
        <v>0.41199999999999998</v>
      </c>
      <c r="AV30" s="726">
        <v>0.40920000000000001</v>
      </c>
      <c r="AW30" s="726">
        <v>0.40860000000000002</v>
      </c>
      <c r="AX30" s="726">
        <v>0.39960000000000001</v>
      </c>
      <c r="AY30" s="727">
        <v>0.37469999999999998</v>
      </c>
      <c r="AZ30" s="726">
        <v>0.39789999999999998</v>
      </c>
      <c r="BA30" s="726">
        <v>0.36799999999999999</v>
      </c>
      <c r="BB30" s="726">
        <v>0.38</v>
      </c>
      <c r="BC30" s="726">
        <v>0.37840000000000001</v>
      </c>
      <c r="BD30" s="726">
        <v>0.37830000000000003</v>
      </c>
      <c r="BE30" s="726">
        <v>0.39410000000000001</v>
      </c>
      <c r="BF30" s="727">
        <v>0.38750000000000001</v>
      </c>
      <c r="BG30" s="726">
        <v>0.38469999999999999</v>
      </c>
      <c r="BH30" s="727">
        <v>0.40350000000000003</v>
      </c>
      <c r="BI30" s="726">
        <v>0.47360000000000002</v>
      </c>
      <c r="BJ30" s="726">
        <v>0.48320000000000002</v>
      </c>
    </row>
    <row r="31" spans="1:62">
      <c r="A31" s="1232"/>
      <c r="B31" s="708" t="str">
        <f t="shared" si="3"/>
        <v>EKO</v>
      </c>
      <c r="C31" s="724">
        <v>0.73329999999999995</v>
      </c>
      <c r="D31" s="724">
        <v>0.73329999999999995</v>
      </c>
      <c r="E31" s="724">
        <v>0.73329999999999995</v>
      </c>
      <c r="F31" s="724">
        <v>0.73329999999999995</v>
      </c>
      <c r="G31" s="724">
        <v>0.73329999999999995</v>
      </c>
      <c r="H31" s="724">
        <v>0.73329999999999995</v>
      </c>
      <c r="I31" s="724">
        <v>0.73329999999999995</v>
      </c>
      <c r="J31" s="724">
        <v>0.73329999999999995</v>
      </c>
      <c r="K31" s="724">
        <v>0.73329999999999995</v>
      </c>
      <c r="L31" s="724">
        <v>0.73329999999999995</v>
      </c>
      <c r="M31" s="724">
        <v>0.73329999999999995</v>
      </c>
      <c r="N31" s="724">
        <v>0.73329999999999995</v>
      </c>
      <c r="O31" s="724">
        <v>0.85880000000000001</v>
      </c>
      <c r="P31" s="725">
        <v>0.85880000000000001</v>
      </c>
      <c r="Q31" s="725">
        <v>0.85880000000000001</v>
      </c>
      <c r="R31" s="725">
        <v>0.85880000000000001</v>
      </c>
      <c r="S31" s="725">
        <v>0.85880000000000001</v>
      </c>
      <c r="T31" s="725">
        <v>0.85880000000000001</v>
      </c>
      <c r="U31" s="725">
        <v>0.85880000000000001</v>
      </c>
      <c r="V31" s="725">
        <v>0.85880000000000001</v>
      </c>
      <c r="W31" s="725">
        <v>0.85880000000000001</v>
      </c>
      <c r="X31" s="725">
        <v>0.85880000000000001</v>
      </c>
      <c r="Y31" s="725">
        <v>0.85880000000000001</v>
      </c>
      <c r="Z31" s="725">
        <v>0.85880000000000001</v>
      </c>
      <c r="AA31" s="724">
        <v>0.58250000000000002</v>
      </c>
      <c r="AB31" s="724">
        <v>0.58250000000000002</v>
      </c>
      <c r="AC31" s="724">
        <v>0.58250000000000002</v>
      </c>
      <c r="AD31" s="726">
        <v>0.58250000000000002</v>
      </c>
      <c r="AE31" s="726">
        <v>0.58250000000000002</v>
      </c>
      <c r="AF31" s="726">
        <v>0.58250000000000002</v>
      </c>
      <c r="AG31" s="726">
        <v>0.58250000000000002</v>
      </c>
      <c r="AH31" s="726">
        <v>0.58250000000000002</v>
      </c>
      <c r="AI31" s="726">
        <v>0.58250000000000002</v>
      </c>
      <c r="AJ31" s="726">
        <v>0.58250000000000002</v>
      </c>
      <c r="AK31" s="726">
        <v>0.58250000000000002</v>
      </c>
      <c r="AL31" s="726">
        <v>0.58250000000000002</v>
      </c>
      <c r="AM31" s="727">
        <v>0.13</v>
      </c>
      <c r="AN31" s="726">
        <v>0.13059999999999999</v>
      </c>
      <c r="AO31" s="726">
        <v>0.13059999999999999</v>
      </c>
      <c r="AP31" s="726">
        <v>0.56740000000000002</v>
      </c>
      <c r="AQ31" s="726">
        <v>0.51780000000000004</v>
      </c>
      <c r="AR31" s="726">
        <v>0.52780000000000005</v>
      </c>
      <c r="AS31" s="726">
        <v>0.52359999999999995</v>
      </c>
      <c r="AT31" s="726">
        <v>0.51290000000000002</v>
      </c>
      <c r="AU31" s="726">
        <v>0.50119999999999998</v>
      </c>
      <c r="AV31" s="726">
        <v>0.47870000000000001</v>
      </c>
      <c r="AW31" s="726">
        <v>0.49330000000000002</v>
      </c>
      <c r="AX31" s="726">
        <v>0.48220000000000002</v>
      </c>
      <c r="AY31" s="727">
        <v>0.43659999999999999</v>
      </c>
      <c r="AZ31" s="726">
        <v>0.44550000000000001</v>
      </c>
      <c r="BA31" s="726">
        <v>0.4234</v>
      </c>
      <c r="BB31" s="726">
        <v>0.435</v>
      </c>
      <c r="BC31" s="726">
        <v>0.43340000000000001</v>
      </c>
      <c r="BD31" s="726">
        <v>0.43319999999999997</v>
      </c>
      <c r="BE31" s="726">
        <v>0.45029999999999998</v>
      </c>
      <c r="BF31" s="727">
        <v>0.44259999999999999</v>
      </c>
      <c r="BG31" s="726">
        <v>0.43911</v>
      </c>
      <c r="BH31" s="727">
        <v>0.45960000000000001</v>
      </c>
      <c r="BI31" s="726">
        <v>0.52659999999999996</v>
      </c>
      <c r="BJ31" s="726">
        <v>0.53700000000000003</v>
      </c>
    </row>
    <row r="32" spans="1:62">
      <c r="A32" s="1232"/>
      <c r="B32" s="708" t="str">
        <f t="shared" si="3"/>
        <v>ENUGU</v>
      </c>
      <c r="C32" s="724">
        <v>0.71630000000000005</v>
      </c>
      <c r="D32" s="724">
        <v>0.71630000000000005</v>
      </c>
      <c r="E32" s="724">
        <v>0.71630000000000005</v>
      </c>
      <c r="F32" s="724">
        <v>0.71630000000000005</v>
      </c>
      <c r="G32" s="724">
        <v>0.71630000000000005</v>
      </c>
      <c r="H32" s="724">
        <v>0.71630000000000005</v>
      </c>
      <c r="I32" s="724">
        <v>0.71630000000000005</v>
      </c>
      <c r="J32" s="724">
        <v>0.71630000000000005</v>
      </c>
      <c r="K32" s="724">
        <v>0.71630000000000005</v>
      </c>
      <c r="L32" s="724">
        <v>0.71630000000000005</v>
      </c>
      <c r="M32" s="724">
        <v>0.71630000000000005</v>
      </c>
      <c r="N32" s="724">
        <v>0.71630000000000005</v>
      </c>
      <c r="O32" s="724">
        <v>0.88980000000000004</v>
      </c>
      <c r="P32" s="725">
        <v>0.88980000000000004</v>
      </c>
      <c r="Q32" s="725">
        <v>0.88980000000000004</v>
      </c>
      <c r="R32" s="725">
        <v>0.88980000000000004</v>
      </c>
      <c r="S32" s="725">
        <v>0.88980000000000004</v>
      </c>
      <c r="T32" s="725">
        <v>0.88980000000000004</v>
      </c>
      <c r="U32" s="725">
        <v>0.88980000000000004</v>
      </c>
      <c r="V32" s="725">
        <v>0.88980000000000004</v>
      </c>
      <c r="W32" s="725">
        <v>0.88980000000000004</v>
      </c>
      <c r="X32" s="725">
        <v>0.88980000000000004</v>
      </c>
      <c r="Y32" s="725">
        <v>0.88980000000000004</v>
      </c>
      <c r="Z32" s="725">
        <v>0.88980000000000004</v>
      </c>
      <c r="AA32" s="724">
        <v>0.57799999999999996</v>
      </c>
      <c r="AB32" s="724">
        <v>0.57799999999999996</v>
      </c>
      <c r="AC32" s="724">
        <v>0.57799999999999996</v>
      </c>
      <c r="AD32" s="726">
        <v>0.57799999999999996</v>
      </c>
      <c r="AE32" s="726">
        <v>0.57799999999999996</v>
      </c>
      <c r="AF32" s="726">
        <v>0.57799999999999996</v>
      </c>
      <c r="AG32" s="726">
        <v>0.57799999999999996</v>
      </c>
      <c r="AH32" s="726">
        <v>0.57799999999999996</v>
      </c>
      <c r="AI32" s="726">
        <v>0.57799999999999996</v>
      </c>
      <c r="AJ32" s="726">
        <v>0.57799999999999996</v>
      </c>
      <c r="AK32" s="726">
        <v>0.57799999999999996</v>
      </c>
      <c r="AL32" s="726">
        <v>0.57799999999999996</v>
      </c>
      <c r="AM32" s="727">
        <v>5.0500000000000003E-2</v>
      </c>
      <c r="AN32" s="726">
        <v>4.3999999999999997E-2</v>
      </c>
      <c r="AO32" s="726">
        <v>4.3999999999999997E-2</v>
      </c>
      <c r="AP32" s="726">
        <v>0.44080000000000003</v>
      </c>
      <c r="AQ32" s="726">
        <v>0.43259999999999998</v>
      </c>
      <c r="AR32" s="726">
        <v>0.41210000000000002</v>
      </c>
      <c r="AS32" s="726">
        <v>0.40899999999999997</v>
      </c>
      <c r="AT32" s="726">
        <v>0.40600000000000003</v>
      </c>
      <c r="AU32" s="726">
        <v>0.39489999999999997</v>
      </c>
      <c r="AV32" s="726">
        <v>0.38059999999999999</v>
      </c>
      <c r="AW32" s="726">
        <v>0.39250000000000002</v>
      </c>
      <c r="AX32" s="726">
        <v>0.38400000000000001</v>
      </c>
      <c r="AY32" s="727">
        <v>0.3574</v>
      </c>
      <c r="AZ32" s="726">
        <v>0.38350000000000001</v>
      </c>
      <c r="BA32" s="726">
        <v>0.3594</v>
      </c>
      <c r="BB32" s="726">
        <v>0.35299999999999998</v>
      </c>
      <c r="BC32" s="726">
        <v>0.35249999999999998</v>
      </c>
      <c r="BD32" s="726">
        <v>0.35249999999999998</v>
      </c>
      <c r="BE32" s="726">
        <v>0.36720000000000003</v>
      </c>
      <c r="BF32" s="727">
        <v>0.36099999999999999</v>
      </c>
      <c r="BG32" s="726">
        <v>0.35980000000000001</v>
      </c>
      <c r="BH32" s="727">
        <v>0.37719999999999998</v>
      </c>
      <c r="BI32" s="726">
        <v>0.44819999999999999</v>
      </c>
      <c r="BJ32" s="726">
        <v>0.45710000000000001</v>
      </c>
    </row>
    <row r="33" spans="1:62">
      <c r="A33" s="1232"/>
      <c r="B33" s="708" t="str">
        <f t="shared" si="3"/>
        <v>IBADAN</v>
      </c>
      <c r="C33" s="724">
        <v>0.6996</v>
      </c>
      <c r="D33" s="724">
        <v>0.6996</v>
      </c>
      <c r="E33" s="724">
        <v>0.6996</v>
      </c>
      <c r="F33" s="724">
        <v>0.6996</v>
      </c>
      <c r="G33" s="724">
        <v>0.6996</v>
      </c>
      <c r="H33" s="724">
        <v>0.6996</v>
      </c>
      <c r="I33" s="724">
        <v>0.6996</v>
      </c>
      <c r="J33" s="724">
        <v>0.6996</v>
      </c>
      <c r="K33" s="724">
        <v>0.6996</v>
      </c>
      <c r="L33" s="724">
        <v>0.6996</v>
      </c>
      <c r="M33" s="724">
        <v>0.6996</v>
      </c>
      <c r="N33" s="724">
        <v>0.6996</v>
      </c>
      <c r="O33" s="724">
        <v>0.80520000000000003</v>
      </c>
      <c r="P33" s="725">
        <v>0.80520000000000003</v>
      </c>
      <c r="Q33" s="725">
        <v>0.80520000000000003</v>
      </c>
      <c r="R33" s="725">
        <v>0.80520000000000003</v>
      </c>
      <c r="S33" s="725">
        <v>0.80520000000000003</v>
      </c>
      <c r="T33" s="725">
        <v>0.80520000000000003</v>
      </c>
      <c r="U33" s="725">
        <v>0.80520000000000003</v>
      </c>
      <c r="V33" s="725">
        <v>0.80520000000000003</v>
      </c>
      <c r="W33" s="725">
        <v>0.80520000000000003</v>
      </c>
      <c r="X33" s="725">
        <v>0.80520000000000003</v>
      </c>
      <c r="Y33" s="725">
        <v>0.80520000000000003</v>
      </c>
      <c r="Z33" s="725">
        <v>0.80520000000000003</v>
      </c>
      <c r="AA33" s="724">
        <v>0.46789999999999998</v>
      </c>
      <c r="AB33" s="724">
        <v>0.46789999999999998</v>
      </c>
      <c r="AC33" s="724">
        <v>0.46789999999999998</v>
      </c>
      <c r="AD33" s="726">
        <v>0.46789999999999998</v>
      </c>
      <c r="AE33" s="726">
        <v>0.46789999999999998</v>
      </c>
      <c r="AF33" s="726">
        <v>0.46789999999999998</v>
      </c>
      <c r="AG33" s="726">
        <v>0.46789999999999998</v>
      </c>
      <c r="AH33" s="726">
        <v>0.46789999999999998</v>
      </c>
      <c r="AI33" s="726">
        <v>0.46789999999999998</v>
      </c>
      <c r="AJ33" s="726">
        <v>0.46789999999999998</v>
      </c>
      <c r="AK33" s="726">
        <v>0.46789999999999998</v>
      </c>
      <c r="AL33" s="726">
        <v>0.46789999999999998</v>
      </c>
      <c r="AM33" s="727">
        <v>9.7900000000000001E-2</v>
      </c>
      <c r="AN33" s="726">
        <v>9.8500000000000004E-2</v>
      </c>
      <c r="AO33" s="726">
        <v>9.8500000000000004E-2</v>
      </c>
      <c r="AP33" s="726">
        <v>0.47889999999999999</v>
      </c>
      <c r="AQ33" s="726">
        <v>0.42370000000000002</v>
      </c>
      <c r="AR33" s="726">
        <v>0.42759999999999998</v>
      </c>
      <c r="AS33" s="726">
        <v>0.42420000000000002</v>
      </c>
      <c r="AT33" s="726">
        <v>0.41510000000000002</v>
      </c>
      <c r="AU33" s="726">
        <v>0.4027</v>
      </c>
      <c r="AV33" s="726">
        <v>0.38550000000000001</v>
      </c>
      <c r="AW33" s="726">
        <v>0.39979999999999999</v>
      </c>
      <c r="AX33" s="726">
        <v>0.39100000000000001</v>
      </c>
      <c r="AY33" s="727">
        <v>0.3579</v>
      </c>
      <c r="AZ33" s="726">
        <v>0.37390000000000001</v>
      </c>
      <c r="BA33" s="726">
        <v>0.35070000000000001</v>
      </c>
      <c r="BB33" s="726">
        <v>0.34079999999999999</v>
      </c>
      <c r="BC33" s="726">
        <v>0.34079999999999999</v>
      </c>
      <c r="BD33" s="726">
        <v>0.3407</v>
      </c>
      <c r="BE33" s="726">
        <v>0.35510000000000003</v>
      </c>
      <c r="BF33" s="727">
        <v>0.34939999999999999</v>
      </c>
      <c r="BG33" s="726">
        <v>0.34920000000000001</v>
      </c>
      <c r="BH33" s="727">
        <v>0.36649999999999999</v>
      </c>
      <c r="BI33" s="726">
        <v>0.43980000000000002</v>
      </c>
      <c r="BJ33" s="726">
        <v>0.44890000000000002</v>
      </c>
    </row>
    <row r="34" spans="1:62">
      <c r="A34" s="1232"/>
      <c r="B34" s="708" t="str">
        <f t="shared" si="3"/>
        <v>IKEJA</v>
      </c>
      <c r="C34" s="724">
        <v>0.79659999999999997</v>
      </c>
      <c r="D34" s="724">
        <v>0.79659999999999997</v>
      </c>
      <c r="E34" s="724">
        <v>0.79659999999999997</v>
      </c>
      <c r="F34" s="724">
        <v>0.79659999999999997</v>
      </c>
      <c r="G34" s="724">
        <v>0.79659999999999997</v>
      </c>
      <c r="H34" s="724">
        <v>0.79659999999999997</v>
      </c>
      <c r="I34" s="724">
        <v>0.79659999999999997</v>
      </c>
      <c r="J34" s="724">
        <v>0.79659999999999997</v>
      </c>
      <c r="K34" s="724">
        <v>0.79659999999999997</v>
      </c>
      <c r="L34" s="724">
        <v>0.79659999999999997</v>
      </c>
      <c r="M34" s="724">
        <v>0.79659999999999997</v>
      </c>
      <c r="N34" s="724">
        <v>0.79659999999999997</v>
      </c>
      <c r="O34" s="724">
        <v>0.85570000000000002</v>
      </c>
      <c r="P34" s="725">
        <v>0.85570000000000002</v>
      </c>
      <c r="Q34" s="725">
        <v>0.85570000000000002</v>
      </c>
      <c r="R34" s="725">
        <v>0.85570000000000002</v>
      </c>
      <c r="S34" s="725">
        <v>0.85570000000000002</v>
      </c>
      <c r="T34" s="725">
        <v>0.85570000000000002</v>
      </c>
      <c r="U34" s="725">
        <v>0.85570000000000002</v>
      </c>
      <c r="V34" s="725">
        <v>0.85570000000000002</v>
      </c>
      <c r="W34" s="725">
        <v>0.85570000000000002</v>
      </c>
      <c r="X34" s="725">
        <v>0.85570000000000002</v>
      </c>
      <c r="Y34" s="725">
        <v>0.85570000000000002</v>
      </c>
      <c r="Z34" s="725">
        <v>0.85570000000000002</v>
      </c>
      <c r="AA34" s="724">
        <v>0.63249999999999995</v>
      </c>
      <c r="AB34" s="724">
        <v>0.63249999999999995</v>
      </c>
      <c r="AC34" s="724">
        <v>0.63249999999999995</v>
      </c>
      <c r="AD34" s="726">
        <v>0.63249999999999995</v>
      </c>
      <c r="AE34" s="726">
        <v>0.63249999999999995</v>
      </c>
      <c r="AF34" s="726">
        <v>0.63249999999999995</v>
      </c>
      <c r="AG34" s="726">
        <v>0.63249999999999995</v>
      </c>
      <c r="AH34" s="726">
        <v>0.63249999999999995</v>
      </c>
      <c r="AI34" s="726">
        <v>0.63249999999999995</v>
      </c>
      <c r="AJ34" s="726">
        <v>0.63249999999999995</v>
      </c>
      <c r="AK34" s="726">
        <v>0.63249999999999995</v>
      </c>
      <c r="AL34" s="726">
        <v>0.63249999999999995</v>
      </c>
      <c r="AM34" s="727">
        <v>0.1174</v>
      </c>
      <c r="AN34" s="726">
        <v>0.11799999999999999</v>
      </c>
      <c r="AO34" s="726">
        <v>0.11799999999999999</v>
      </c>
      <c r="AP34" s="726">
        <v>0.56840000000000002</v>
      </c>
      <c r="AQ34" s="726">
        <v>0.51849999999999996</v>
      </c>
      <c r="AR34" s="726">
        <v>0.52859999999999996</v>
      </c>
      <c r="AS34" s="726">
        <v>0.51270000000000004</v>
      </c>
      <c r="AT34" s="726">
        <v>0.50570000000000004</v>
      </c>
      <c r="AU34" s="726">
        <v>0.49380000000000002</v>
      </c>
      <c r="AV34" s="726">
        <v>0.47320000000000001</v>
      </c>
      <c r="AW34" s="726">
        <v>0.4864</v>
      </c>
      <c r="AX34" s="726">
        <v>0.47570000000000001</v>
      </c>
      <c r="AY34" s="727">
        <v>0.42930000000000001</v>
      </c>
      <c r="AZ34" s="726">
        <v>0.43919999999999998</v>
      </c>
      <c r="BA34" s="726">
        <v>0.41870000000000002</v>
      </c>
      <c r="BB34" s="726">
        <v>0.42559999999999998</v>
      </c>
      <c r="BC34" s="726">
        <v>0.42459999999999998</v>
      </c>
      <c r="BD34" s="726">
        <v>0.42449999999999999</v>
      </c>
      <c r="BE34" s="726">
        <v>0.441</v>
      </c>
      <c r="BF34" s="727">
        <v>0.43340000000000001</v>
      </c>
      <c r="BG34" s="726">
        <v>0.4304</v>
      </c>
      <c r="BH34" s="727">
        <v>0.44940000000000002</v>
      </c>
      <c r="BI34" s="726">
        <v>0.51759999999999995</v>
      </c>
      <c r="BJ34" s="726">
        <v>0.52780000000000005</v>
      </c>
    </row>
    <row r="35" spans="1:62">
      <c r="A35" s="1232"/>
      <c r="B35" s="708" t="str">
        <f t="shared" si="3"/>
        <v>JOS</v>
      </c>
      <c r="C35" s="724">
        <v>0.37880000000000003</v>
      </c>
      <c r="D35" s="724">
        <v>0.37880000000000003</v>
      </c>
      <c r="E35" s="724">
        <v>0.37880000000000003</v>
      </c>
      <c r="F35" s="724">
        <v>0.37880000000000003</v>
      </c>
      <c r="G35" s="724">
        <v>0.37880000000000003</v>
      </c>
      <c r="H35" s="724">
        <v>0.37880000000000003</v>
      </c>
      <c r="I35" s="724">
        <v>0.37880000000000003</v>
      </c>
      <c r="J35" s="724">
        <v>0.37880000000000003</v>
      </c>
      <c r="K35" s="724">
        <v>0.37880000000000003</v>
      </c>
      <c r="L35" s="724">
        <v>0.37880000000000003</v>
      </c>
      <c r="M35" s="724">
        <v>0.37880000000000003</v>
      </c>
      <c r="N35" s="724">
        <v>0.37880000000000003</v>
      </c>
      <c r="O35" s="724">
        <v>0.63080000000000003</v>
      </c>
      <c r="P35" s="725">
        <v>0.63080000000000003</v>
      </c>
      <c r="Q35" s="725">
        <v>0.63080000000000003</v>
      </c>
      <c r="R35" s="725">
        <v>0.63080000000000003</v>
      </c>
      <c r="S35" s="725">
        <v>0.63080000000000003</v>
      </c>
      <c r="T35" s="725">
        <v>0.63080000000000003</v>
      </c>
      <c r="U35" s="725">
        <v>0.63080000000000003</v>
      </c>
      <c r="V35" s="725">
        <v>0.63080000000000003</v>
      </c>
      <c r="W35" s="725">
        <v>0.63080000000000003</v>
      </c>
      <c r="X35" s="725">
        <v>0.63080000000000003</v>
      </c>
      <c r="Y35" s="725">
        <v>0.63080000000000003</v>
      </c>
      <c r="Z35" s="725">
        <v>0.63080000000000003</v>
      </c>
      <c r="AA35" s="724">
        <v>0.377</v>
      </c>
      <c r="AB35" s="724">
        <v>0.377</v>
      </c>
      <c r="AC35" s="724">
        <v>0.377</v>
      </c>
      <c r="AD35" s="726">
        <v>0.377</v>
      </c>
      <c r="AE35" s="726">
        <v>0.377</v>
      </c>
      <c r="AF35" s="726">
        <v>0.377</v>
      </c>
      <c r="AG35" s="726">
        <v>0.377</v>
      </c>
      <c r="AH35" s="726">
        <v>0.377</v>
      </c>
      <c r="AI35" s="726">
        <v>0.377</v>
      </c>
      <c r="AJ35" s="726">
        <v>0.377</v>
      </c>
      <c r="AK35" s="726">
        <v>0.377</v>
      </c>
      <c r="AL35" s="726">
        <v>0.377</v>
      </c>
      <c r="AM35" s="727">
        <v>5.8999999999999997E-2</v>
      </c>
      <c r="AN35" s="726">
        <v>5.9400000000000001E-2</v>
      </c>
      <c r="AO35" s="726">
        <v>5.9400000000000001E-2</v>
      </c>
      <c r="AP35" s="726">
        <v>0.40610000000000002</v>
      </c>
      <c r="AQ35" s="726">
        <v>0.26029999999999998</v>
      </c>
      <c r="AR35" s="726">
        <v>0.24629999999999999</v>
      </c>
      <c r="AS35" s="726">
        <v>0.2429</v>
      </c>
      <c r="AT35" s="726">
        <v>0.33550000000000002</v>
      </c>
      <c r="AU35" s="726">
        <v>0.20960000000000001</v>
      </c>
      <c r="AV35" s="726">
        <v>0.2225</v>
      </c>
      <c r="AW35" s="726">
        <v>0.33489999999999998</v>
      </c>
      <c r="AX35" s="726">
        <v>0.32779999999999998</v>
      </c>
      <c r="AY35" s="727">
        <v>0.32650000000000001</v>
      </c>
      <c r="AZ35" s="726">
        <v>0.34560000000000002</v>
      </c>
      <c r="BA35" s="726">
        <v>0.3301</v>
      </c>
      <c r="BB35" s="726">
        <v>0.33700000000000002</v>
      </c>
      <c r="BC35" s="726">
        <v>0.33779999999999999</v>
      </c>
      <c r="BD35" s="726">
        <v>0.33779999999999999</v>
      </c>
      <c r="BE35" s="726">
        <v>0.35160000000000002</v>
      </c>
      <c r="BF35" s="727">
        <v>0.3458</v>
      </c>
      <c r="BG35" s="726">
        <v>0.3392</v>
      </c>
      <c r="BH35" s="727">
        <v>0.35099999999999998</v>
      </c>
      <c r="BI35" s="726">
        <v>0.41460000000000002</v>
      </c>
      <c r="BJ35" s="726">
        <v>0.42330000000000001</v>
      </c>
    </row>
    <row r="36" spans="1:62">
      <c r="A36" s="1232"/>
      <c r="B36" s="708" t="str">
        <f t="shared" si="3"/>
        <v>KADUNA</v>
      </c>
      <c r="C36" s="724">
        <v>0.74</v>
      </c>
      <c r="D36" s="724">
        <v>0.74</v>
      </c>
      <c r="E36" s="724">
        <v>0.74</v>
      </c>
      <c r="F36" s="724">
        <v>0.74</v>
      </c>
      <c r="G36" s="724">
        <v>0.74</v>
      </c>
      <c r="H36" s="724">
        <v>0.74</v>
      </c>
      <c r="I36" s="724">
        <v>0.74</v>
      </c>
      <c r="J36" s="724">
        <v>0.74</v>
      </c>
      <c r="K36" s="724">
        <v>0.74</v>
      </c>
      <c r="L36" s="724">
        <v>0.74</v>
      </c>
      <c r="M36" s="724">
        <v>0.74</v>
      </c>
      <c r="N36" s="724">
        <v>0.74</v>
      </c>
      <c r="O36" s="724">
        <v>0.8276</v>
      </c>
      <c r="P36" s="725">
        <v>0.8276</v>
      </c>
      <c r="Q36" s="725">
        <v>0.8276</v>
      </c>
      <c r="R36" s="725">
        <v>0.8276</v>
      </c>
      <c r="S36" s="725">
        <v>0.8276</v>
      </c>
      <c r="T36" s="725">
        <v>0.8276</v>
      </c>
      <c r="U36" s="725">
        <v>0.8276</v>
      </c>
      <c r="V36" s="725">
        <v>0.8276</v>
      </c>
      <c r="W36" s="725">
        <v>0.8276</v>
      </c>
      <c r="X36" s="725">
        <v>0.8276</v>
      </c>
      <c r="Y36" s="725">
        <v>0.8276</v>
      </c>
      <c r="Z36" s="725">
        <v>0.8276</v>
      </c>
      <c r="AA36" s="724">
        <v>0.48370000000000002</v>
      </c>
      <c r="AB36" s="724">
        <v>0.48370000000000002</v>
      </c>
      <c r="AC36" s="724">
        <v>0.48370000000000002</v>
      </c>
      <c r="AD36" s="726">
        <v>0.48370000000000002</v>
      </c>
      <c r="AE36" s="726">
        <v>0.48370000000000002</v>
      </c>
      <c r="AF36" s="726">
        <v>0.48370000000000002</v>
      </c>
      <c r="AG36" s="726">
        <v>0.48370000000000002</v>
      </c>
      <c r="AH36" s="726">
        <v>0.48370000000000002</v>
      </c>
      <c r="AI36" s="726">
        <v>0.48370000000000002</v>
      </c>
      <c r="AJ36" s="726">
        <v>0.48370000000000002</v>
      </c>
      <c r="AK36" s="726">
        <v>0.48370000000000002</v>
      </c>
      <c r="AL36" s="726">
        <v>0.48370000000000002</v>
      </c>
      <c r="AM36" s="727">
        <v>2.9899999999999999E-2</v>
      </c>
      <c r="AN36" s="726">
        <v>3.0300000000000001E-2</v>
      </c>
      <c r="AO36" s="726">
        <v>3.0300000000000001E-2</v>
      </c>
      <c r="AP36" s="726">
        <v>0.43219999999999997</v>
      </c>
      <c r="AQ36" s="726">
        <v>0.3785</v>
      </c>
      <c r="AR36" s="726">
        <v>0.38</v>
      </c>
      <c r="AS36" s="726">
        <v>0.36649999999999999</v>
      </c>
      <c r="AT36" s="726">
        <v>0.35389999999999999</v>
      </c>
      <c r="AU36" s="726">
        <v>0.1799</v>
      </c>
      <c r="AV36" s="726">
        <v>0.1696</v>
      </c>
      <c r="AW36" s="726">
        <v>0.34239999999999998</v>
      </c>
      <c r="AX36" s="726">
        <v>0.33460000000000001</v>
      </c>
      <c r="AY36" s="727">
        <v>0.27979999999999999</v>
      </c>
      <c r="AZ36" s="726">
        <v>0.30049999999999999</v>
      </c>
      <c r="BA36" s="726">
        <v>0.28310000000000002</v>
      </c>
      <c r="BB36" s="726">
        <v>0.27539999999999998</v>
      </c>
      <c r="BC36" s="726">
        <v>0.2757</v>
      </c>
      <c r="BD36" s="726">
        <v>0.27579999999999999</v>
      </c>
      <c r="BE36" s="726">
        <v>0.28870000000000001</v>
      </c>
      <c r="BF36" s="727">
        <v>0.28460000000000002</v>
      </c>
      <c r="BG36" s="726">
        <v>0.28399999999999997</v>
      </c>
      <c r="BH36" s="727">
        <v>0.29720000000000002</v>
      </c>
      <c r="BI36" s="726">
        <v>0.37019999999999997</v>
      </c>
      <c r="BJ36" s="726">
        <v>0.37840000000000001</v>
      </c>
    </row>
    <row r="37" spans="1:62">
      <c r="A37" s="1232"/>
      <c r="B37" s="708" t="str">
        <f t="shared" si="3"/>
        <v>KANO</v>
      </c>
      <c r="C37" s="724">
        <v>0.78380000000000005</v>
      </c>
      <c r="D37" s="724">
        <v>0.78380000000000005</v>
      </c>
      <c r="E37" s="724">
        <v>0.78380000000000005</v>
      </c>
      <c r="F37" s="724">
        <v>0.78380000000000005</v>
      </c>
      <c r="G37" s="724">
        <v>0.78380000000000005</v>
      </c>
      <c r="H37" s="724">
        <v>0.78380000000000005</v>
      </c>
      <c r="I37" s="724">
        <v>0.78380000000000005</v>
      </c>
      <c r="J37" s="724">
        <v>0.78380000000000005</v>
      </c>
      <c r="K37" s="724">
        <v>0.78380000000000005</v>
      </c>
      <c r="L37" s="724">
        <v>0.78380000000000005</v>
      </c>
      <c r="M37" s="724">
        <v>0.78380000000000005</v>
      </c>
      <c r="N37" s="724">
        <v>0.78380000000000005</v>
      </c>
      <c r="O37" s="724">
        <v>0.8246</v>
      </c>
      <c r="P37" s="725">
        <v>0.8246</v>
      </c>
      <c r="Q37" s="725">
        <v>0.8246</v>
      </c>
      <c r="R37" s="725">
        <v>0.8246</v>
      </c>
      <c r="S37" s="725">
        <v>0.8246</v>
      </c>
      <c r="T37" s="725">
        <v>0.8246</v>
      </c>
      <c r="U37" s="725">
        <v>0.8246</v>
      </c>
      <c r="V37" s="725">
        <v>0.8246</v>
      </c>
      <c r="W37" s="725">
        <v>0.8246</v>
      </c>
      <c r="X37" s="725">
        <v>0.8246</v>
      </c>
      <c r="Y37" s="725">
        <v>0.8246</v>
      </c>
      <c r="Z37" s="725">
        <v>0.8246</v>
      </c>
      <c r="AA37" s="724">
        <v>0.48599999999999999</v>
      </c>
      <c r="AB37" s="724">
        <v>0.48599999999999999</v>
      </c>
      <c r="AC37" s="724">
        <v>0.48599999999999999</v>
      </c>
      <c r="AD37" s="726">
        <v>0.48599999999999999</v>
      </c>
      <c r="AE37" s="726">
        <v>0.48599999999999999</v>
      </c>
      <c r="AF37" s="726">
        <v>0.48599999999999999</v>
      </c>
      <c r="AG37" s="726">
        <v>0.48599999999999999</v>
      </c>
      <c r="AH37" s="726">
        <v>0.48599999999999999</v>
      </c>
      <c r="AI37" s="726">
        <v>0.48599999999999999</v>
      </c>
      <c r="AJ37" s="726">
        <v>0.48599999999999999</v>
      </c>
      <c r="AK37" s="726">
        <v>0.48599999999999999</v>
      </c>
      <c r="AL37" s="726">
        <v>0.48599999999999999</v>
      </c>
      <c r="AM37" s="727">
        <v>5.2299999999999999E-2</v>
      </c>
      <c r="AN37" s="726">
        <v>5.2699999999999997E-2</v>
      </c>
      <c r="AO37" s="726">
        <v>5.2699999999999997E-2</v>
      </c>
      <c r="AP37" s="726">
        <v>0.45390000000000003</v>
      </c>
      <c r="AQ37" s="726">
        <v>0.40179999999999999</v>
      </c>
      <c r="AR37" s="726">
        <v>0.40489999999999998</v>
      </c>
      <c r="AS37" s="726">
        <v>0.40160000000000001</v>
      </c>
      <c r="AT37" s="726">
        <v>0.3992</v>
      </c>
      <c r="AU37" s="726">
        <v>0.19450000000000001</v>
      </c>
      <c r="AV37" s="726">
        <v>0.16639999999999999</v>
      </c>
      <c r="AW37" s="726">
        <v>0.3846</v>
      </c>
      <c r="AX37" s="726">
        <v>0.376</v>
      </c>
      <c r="AY37" s="727">
        <v>0.33139999999999997</v>
      </c>
      <c r="AZ37" s="726">
        <v>0.34470000000000001</v>
      </c>
      <c r="BA37" s="726">
        <v>0.33079999999999998</v>
      </c>
      <c r="BB37" s="726">
        <v>0.33310000000000001</v>
      </c>
      <c r="BC37" s="726">
        <v>0.33339999999999997</v>
      </c>
      <c r="BD37" s="726">
        <v>0.33339999999999997</v>
      </c>
      <c r="BE37" s="726">
        <v>0.34749999999999998</v>
      </c>
      <c r="BF37" s="727">
        <v>0.34179999999999999</v>
      </c>
      <c r="BG37" s="726">
        <v>0.34139999999999998</v>
      </c>
      <c r="BH37" s="727">
        <v>0.35160000000000002</v>
      </c>
      <c r="BI37" s="726">
        <v>0.30530000000000002</v>
      </c>
      <c r="BJ37" s="726">
        <v>0.34439999999999998</v>
      </c>
    </row>
    <row r="38" spans="1:62">
      <c r="A38" s="1232"/>
      <c r="B38" s="708" t="str">
        <f t="shared" si="3"/>
        <v>PH</v>
      </c>
      <c r="C38" s="724">
        <v>0.57269999999999999</v>
      </c>
      <c r="D38" s="724">
        <v>0.57269999999999999</v>
      </c>
      <c r="E38" s="724">
        <v>0.57269999999999999</v>
      </c>
      <c r="F38" s="724">
        <v>0.57269999999999999</v>
      </c>
      <c r="G38" s="724">
        <v>0.57269999999999999</v>
      </c>
      <c r="H38" s="724">
        <v>0.57269999999999999</v>
      </c>
      <c r="I38" s="724">
        <v>0.57269999999999999</v>
      </c>
      <c r="J38" s="724">
        <v>0.57269999999999999</v>
      </c>
      <c r="K38" s="724">
        <v>0.57269999999999999</v>
      </c>
      <c r="L38" s="724">
        <v>0.57269999999999999</v>
      </c>
      <c r="M38" s="724">
        <v>0.57269999999999999</v>
      </c>
      <c r="N38" s="724">
        <v>0.57269999999999999</v>
      </c>
      <c r="O38" s="724">
        <v>0.81</v>
      </c>
      <c r="P38" s="725">
        <v>0.81</v>
      </c>
      <c r="Q38" s="725">
        <v>0.81</v>
      </c>
      <c r="R38" s="725">
        <v>0.81</v>
      </c>
      <c r="S38" s="725">
        <v>0.81</v>
      </c>
      <c r="T38" s="725">
        <v>0.81</v>
      </c>
      <c r="U38" s="725">
        <v>0.81</v>
      </c>
      <c r="V38" s="725">
        <v>0.81</v>
      </c>
      <c r="W38" s="725">
        <v>0.81</v>
      </c>
      <c r="X38" s="725">
        <v>0.81</v>
      </c>
      <c r="Y38" s="725">
        <v>0.81</v>
      </c>
      <c r="Z38" s="725">
        <v>0.81</v>
      </c>
      <c r="AA38" s="724">
        <v>0.54049999999999998</v>
      </c>
      <c r="AB38" s="724">
        <v>0.54049999999999998</v>
      </c>
      <c r="AC38" s="724">
        <v>0.54049999999999998</v>
      </c>
      <c r="AD38" s="726">
        <v>0.54049999999999998</v>
      </c>
      <c r="AE38" s="726">
        <v>0.54049999999999998</v>
      </c>
      <c r="AF38" s="726">
        <v>0.54049999999999998</v>
      </c>
      <c r="AG38" s="726">
        <v>0.54049999999999998</v>
      </c>
      <c r="AH38" s="726">
        <v>0.54049999999999998</v>
      </c>
      <c r="AI38" s="726">
        <v>0.54049999999999998</v>
      </c>
      <c r="AJ38" s="726">
        <v>0.54049999999999998</v>
      </c>
      <c r="AK38" s="726">
        <v>0.54049999999999998</v>
      </c>
      <c r="AL38" s="726">
        <v>0.54049999999999998</v>
      </c>
      <c r="AM38" s="727">
        <v>8.1000000000000003E-2</v>
      </c>
      <c r="AN38" s="726">
        <v>8.1500000000000003E-2</v>
      </c>
      <c r="AO38" s="726">
        <v>8.1500000000000003E-2</v>
      </c>
      <c r="AP38" s="726">
        <v>0.46039999999999998</v>
      </c>
      <c r="AQ38" s="726">
        <v>0.40400000000000003</v>
      </c>
      <c r="AR38" s="726">
        <v>0.4073</v>
      </c>
      <c r="AS38" s="726">
        <v>0.40410000000000001</v>
      </c>
      <c r="AT38" s="726">
        <v>0.39600000000000002</v>
      </c>
      <c r="AU38" s="726">
        <v>0.38829999999999998</v>
      </c>
      <c r="AV38" s="726">
        <v>0.36649999999999999</v>
      </c>
      <c r="AW38" s="726">
        <v>0.38600000000000001</v>
      </c>
      <c r="AX38" s="726">
        <v>0.3775</v>
      </c>
      <c r="AY38" s="727">
        <v>0.3377</v>
      </c>
      <c r="AZ38" s="726">
        <v>0.35709999999999997</v>
      </c>
      <c r="BA38" s="726">
        <v>0.32950000000000002</v>
      </c>
      <c r="BB38" s="726">
        <v>0.33410000000000001</v>
      </c>
      <c r="BC38" s="726">
        <v>0.33389999999999997</v>
      </c>
      <c r="BD38" s="726">
        <v>0.33389999999999997</v>
      </c>
      <c r="BE38" s="726">
        <v>0.34849999999999998</v>
      </c>
      <c r="BF38" s="727">
        <v>0.3427</v>
      </c>
      <c r="BG38" s="726">
        <v>0.33839999999999998</v>
      </c>
      <c r="BH38" s="727">
        <v>0.3574</v>
      </c>
      <c r="BI38" s="726">
        <v>0.41589999999999999</v>
      </c>
      <c r="BJ38" s="726">
        <v>0.42459999999999998</v>
      </c>
    </row>
    <row r="39" spans="1:62" ht="15" thickBot="1">
      <c r="A39" s="1233"/>
      <c r="B39" s="712" t="str">
        <f t="shared" si="3"/>
        <v>YOLA</v>
      </c>
      <c r="C39" s="728">
        <v>0.27929999999999999</v>
      </c>
      <c r="D39" s="728">
        <v>0.27929999999999999</v>
      </c>
      <c r="E39" s="728">
        <v>0.27929999999999999</v>
      </c>
      <c r="F39" s="728">
        <v>0.27929999999999999</v>
      </c>
      <c r="G39" s="728">
        <v>0.27929999999999999</v>
      </c>
      <c r="H39" s="728">
        <v>0.27929999999999999</v>
      </c>
      <c r="I39" s="728">
        <v>0.27929999999999999</v>
      </c>
      <c r="J39" s="728">
        <v>0.27929999999999999</v>
      </c>
      <c r="K39" s="728">
        <v>0.27929999999999999</v>
      </c>
      <c r="L39" s="728">
        <v>0.27929999999999999</v>
      </c>
      <c r="M39" s="728">
        <v>0.27929999999999999</v>
      </c>
      <c r="N39" s="728">
        <v>0.27929999999999999</v>
      </c>
      <c r="O39" s="728">
        <v>0.105</v>
      </c>
      <c r="P39" s="729">
        <v>0.105</v>
      </c>
      <c r="Q39" s="729">
        <v>0.105</v>
      </c>
      <c r="R39" s="729">
        <v>0.105</v>
      </c>
      <c r="S39" s="729">
        <v>0.105</v>
      </c>
      <c r="T39" s="729">
        <v>0.105</v>
      </c>
      <c r="U39" s="729">
        <v>0.105</v>
      </c>
      <c r="V39" s="729">
        <v>0.105</v>
      </c>
      <c r="W39" s="729">
        <v>0.105</v>
      </c>
      <c r="X39" s="729">
        <v>0.105</v>
      </c>
      <c r="Y39" s="729">
        <v>0.105</v>
      </c>
      <c r="Z39" s="729">
        <v>0.105</v>
      </c>
      <c r="AA39" s="728">
        <v>6.25E-2</v>
      </c>
      <c r="AB39" s="728">
        <v>6.25E-2</v>
      </c>
      <c r="AC39" s="728">
        <v>6.25E-2</v>
      </c>
      <c r="AD39" s="730">
        <v>6.25E-2</v>
      </c>
      <c r="AE39" s="730">
        <v>6.25E-2</v>
      </c>
      <c r="AF39" s="730">
        <v>6.25E-2</v>
      </c>
      <c r="AG39" s="730">
        <v>6.25E-2</v>
      </c>
      <c r="AH39" s="730">
        <v>6.25E-2</v>
      </c>
      <c r="AI39" s="730">
        <v>6.25E-2</v>
      </c>
      <c r="AJ39" s="730">
        <v>6.25E-2</v>
      </c>
      <c r="AK39" s="730">
        <v>6.25E-2</v>
      </c>
      <c r="AL39" s="730">
        <v>6.25E-2</v>
      </c>
      <c r="AM39" s="731">
        <v>8.5000000000000006E-3</v>
      </c>
      <c r="AN39" s="730">
        <v>8.5000000000000006E-3</v>
      </c>
      <c r="AO39" s="730">
        <v>8.5000000000000006E-3</v>
      </c>
      <c r="AP39" s="730">
        <v>0.1719</v>
      </c>
      <c r="AQ39" s="730">
        <v>1.5E-3</v>
      </c>
      <c r="AR39" s="730">
        <v>1.5E-3</v>
      </c>
      <c r="AS39" s="730">
        <v>2.07E-2</v>
      </c>
      <c r="AT39" s="730">
        <v>6.8500000000000005E-2</v>
      </c>
      <c r="AU39" s="730">
        <v>5.0000000000000001E-3</v>
      </c>
      <c r="AV39" s="730">
        <v>5.0000000000000001E-3</v>
      </c>
      <c r="AW39" s="730">
        <v>9.4299999999999995E-2</v>
      </c>
      <c r="AX39" s="730">
        <v>9.3399999999999997E-2</v>
      </c>
      <c r="AY39" s="731">
        <v>0.1323</v>
      </c>
      <c r="AZ39" s="730">
        <v>0.13739999999999999</v>
      </c>
      <c r="BA39" s="730">
        <v>0.1128</v>
      </c>
      <c r="BB39" s="730">
        <v>9.98E-2</v>
      </c>
      <c r="BC39" s="730">
        <v>0.1158</v>
      </c>
      <c r="BD39" s="730">
        <v>0.11600000000000001</v>
      </c>
      <c r="BE39" s="730">
        <v>0.1234</v>
      </c>
      <c r="BF39" s="731">
        <v>0.12139999999999999</v>
      </c>
      <c r="BG39" s="730">
        <v>0.12189999999999999</v>
      </c>
      <c r="BH39" s="731">
        <v>0.12920000000000001</v>
      </c>
      <c r="BI39" s="730">
        <v>0.16819999999999999</v>
      </c>
      <c r="BJ39" s="730">
        <v>0.1716</v>
      </c>
    </row>
    <row r="40" spans="1:62">
      <c r="AA40" s="719"/>
      <c r="AB40" s="719"/>
      <c r="AC40" s="719"/>
    </row>
    <row r="41" spans="1:62">
      <c r="AA41" s="719"/>
      <c r="AB41" s="719"/>
      <c r="AC41" s="719"/>
    </row>
    <row r="42" spans="1:62" ht="15" thickBot="1">
      <c r="B42" s="377" t="s">
        <v>636</v>
      </c>
      <c r="AA42" s="719"/>
      <c r="AB42" s="719"/>
      <c r="AC42" s="719"/>
    </row>
    <row r="43" spans="1:62" s="493" customFormat="1" ht="15" thickBot="1">
      <c r="A43" s="1231" t="s">
        <v>636</v>
      </c>
      <c r="B43" s="700" t="str">
        <f t="shared" ref="B43:B54" si="4">B28</f>
        <v>DISCO</v>
      </c>
      <c r="C43" s="701">
        <f t="shared" ref="C43:BJ43" si="5">C13</f>
        <v>44197</v>
      </c>
      <c r="D43" s="701">
        <f t="shared" si="5"/>
        <v>44228</v>
      </c>
      <c r="E43" s="701">
        <f t="shared" si="5"/>
        <v>44256</v>
      </c>
      <c r="F43" s="701">
        <f t="shared" si="5"/>
        <v>44287</v>
      </c>
      <c r="G43" s="701">
        <f t="shared" si="5"/>
        <v>44317</v>
      </c>
      <c r="H43" s="701">
        <f t="shared" si="5"/>
        <v>44348</v>
      </c>
      <c r="I43" s="701">
        <f t="shared" si="5"/>
        <v>44378</v>
      </c>
      <c r="J43" s="701">
        <f t="shared" si="5"/>
        <v>44409</v>
      </c>
      <c r="K43" s="701">
        <f t="shared" si="5"/>
        <v>44440</v>
      </c>
      <c r="L43" s="701">
        <f t="shared" si="5"/>
        <v>44470</v>
      </c>
      <c r="M43" s="701">
        <f t="shared" si="5"/>
        <v>44501</v>
      </c>
      <c r="N43" s="701">
        <f t="shared" si="5"/>
        <v>44531</v>
      </c>
      <c r="O43" s="701">
        <f t="shared" si="5"/>
        <v>44562</v>
      </c>
      <c r="P43" s="701">
        <f t="shared" si="5"/>
        <v>44593</v>
      </c>
      <c r="Q43" s="701">
        <f t="shared" si="5"/>
        <v>44621</v>
      </c>
      <c r="R43" s="701">
        <f t="shared" si="5"/>
        <v>44652</v>
      </c>
      <c r="S43" s="701">
        <f t="shared" si="5"/>
        <v>44682</v>
      </c>
      <c r="T43" s="701">
        <f t="shared" si="5"/>
        <v>44713</v>
      </c>
      <c r="U43" s="701">
        <f t="shared" si="5"/>
        <v>44743</v>
      </c>
      <c r="V43" s="701">
        <f t="shared" si="5"/>
        <v>44774</v>
      </c>
      <c r="W43" s="701">
        <f t="shared" si="5"/>
        <v>44805</v>
      </c>
      <c r="X43" s="701">
        <f t="shared" si="5"/>
        <v>44835</v>
      </c>
      <c r="Y43" s="701">
        <f t="shared" si="5"/>
        <v>44866</v>
      </c>
      <c r="Z43" s="701">
        <f t="shared" si="5"/>
        <v>44896</v>
      </c>
      <c r="AA43" s="701">
        <f t="shared" si="5"/>
        <v>44927</v>
      </c>
      <c r="AB43" s="701">
        <f t="shared" si="5"/>
        <v>44958</v>
      </c>
      <c r="AC43" s="701">
        <f t="shared" si="5"/>
        <v>44986</v>
      </c>
      <c r="AD43" s="702">
        <f t="shared" si="5"/>
        <v>45017</v>
      </c>
      <c r="AE43" s="702">
        <f t="shared" si="5"/>
        <v>45047</v>
      </c>
      <c r="AF43" s="702">
        <f t="shared" si="5"/>
        <v>45078</v>
      </c>
      <c r="AG43" s="702">
        <f t="shared" si="5"/>
        <v>45108</v>
      </c>
      <c r="AH43" s="702">
        <f t="shared" si="5"/>
        <v>45139</v>
      </c>
      <c r="AI43" s="702">
        <f t="shared" si="5"/>
        <v>45170</v>
      </c>
      <c r="AJ43" s="702">
        <f t="shared" si="5"/>
        <v>45200</v>
      </c>
      <c r="AK43" s="702">
        <f t="shared" si="5"/>
        <v>45231</v>
      </c>
      <c r="AL43" s="702">
        <f t="shared" si="5"/>
        <v>45261</v>
      </c>
      <c r="AM43" s="703">
        <f t="shared" si="5"/>
        <v>45292</v>
      </c>
      <c r="AN43" s="702">
        <f t="shared" si="5"/>
        <v>45323</v>
      </c>
      <c r="AO43" s="702">
        <f t="shared" si="5"/>
        <v>45352</v>
      </c>
      <c r="AP43" s="702">
        <f t="shared" si="5"/>
        <v>45383</v>
      </c>
      <c r="AQ43" s="702">
        <f t="shared" si="5"/>
        <v>45413</v>
      </c>
      <c r="AR43" s="702">
        <f t="shared" si="5"/>
        <v>45444</v>
      </c>
      <c r="AS43" s="702">
        <f t="shared" si="5"/>
        <v>45474</v>
      </c>
      <c r="AT43" s="702">
        <f t="shared" si="5"/>
        <v>45505</v>
      </c>
      <c r="AU43" s="702">
        <f t="shared" si="5"/>
        <v>45536</v>
      </c>
      <c r="AV43" s="702">
        <f t="shared" si="5"/>
        <v>45566</v>
      </c>
      <c r="AW43" s="702">
        <f t="shared" si="5"/>
        <v>45597</v>
      </c>
      <c r="AX43" s="702">
        <f t="shared" si="5"/>
        <v>45627</v>
      </c>
      <c r="AY43" s="703">
        <f t="shared" si="5"/>
        <v>45658</v>
      </c>
      <c r="AZ43" s="702">
        <f t="shared" si="5"/>
        <v>45689</v>
      </c>
      <c r="BA43" s="702">
        <f t="shared" si="5"/>
        <v>45717</v>
      </c>
      <c r="BB43" s="702">
        <f t="shared" si="5"/>
        <v>45748</v>
      </c>
      <c r="BC43" s="702">
        <f t="shared" si="5"/>
        <v>45778</v>
      </c>
      <c r="BD43" s="702">
        <f t="shared" si="5"/>
        <v>45809</v>
      </c>
      <c r="BE43" s="702">
        <f t="shared" si="5"/>
        <v>45839</v>
      </c>
      <c r="BF43" s="703">
        <f t="shared" si="5"/>
        <v>45870</v>
      </c>
      <c r="BG43" s="702">
        <f t="shared" si="5"/>
        <v>45901</v>
      </c>
      <c r="BH43" s="703">
        <f t="shared" si="5"/>
        <v>45931</v>
      </c>
      <c r="BI43" s="702">
        <f t="shared" si="5"/>
        <v>45962</v>
      </c>
      <c r="BJ43" s="702">
        <f t="shared" si="5"/>
        <v>45992</v>
      </c>
    </row>
    <row r="44" spans="1:62">
      <c r="A44" s="1232"/>
      <c r="B44" s="704" t="str">
        <f t="shared" si="4"/>
        <v>ABUJA</v>
      </c>
      <c r="C44" s="705">
        <f t="shared" ref="C44:BJ48" si="6">C14*(1-C29)</f>
        <v>1579469791.3597841</v>
      </c>
      <c r="D44" s="705">
        <f t="shared" si="6"/>
        <v>1496495122.16136</v>
      </c>
      <c r="E44" s="705">
        <f t="shared" si="6"/>
        <v>1607901750.5676763</v>
      </c>
      <c r="F44" s="705">
        <f t="shared" si="6"/>
        <v>1637472054.0781496</v>
      </c>
      <c r="G44" s="705">
        <f t="shared" si="6"/>
        <v>1637322607.8569775</v>
      </c>
      <c r="H44" s="705">
        <f t="shared" si="6"/>
        <v>1451300513.6790018</v>
      </c>
      <c r="I44" s="705">
        <f t="shared" si="6"/>
        <v>1517289220.1076562</v>
      </c>
      <c r="J44" s="705">
        <f t="shared" si="6"/>
        <v>1487164787.7244406</v>
      </c>
      <c r="K44" s="705">
        <f t="shared" si="6"/>
        <v>1417382061.6746142</v>
      </c>
      <c r="L44" s="705">
        <f t="shared" si="6"/>
        <v>1534647147.3975546</v>
      </c>
      <c r="M44" s="705">
        <f t="shared" si="6"/>
        <v>1547299152.4187102</v>
      </c>
      <c r="N44" s="705">
        <f t="shared" si="6"/>
        <v>1558355095.5535522</v>
      </c>
      <c r="O44" s="705">
        <f t="shared" si="6"/>
        <v>881448289.12989259</v>
      </c>
      <c r="P44" s="705">
        <f t="shared" si="6"/>
        <v>820744449.04371214</v>
      </c>
      <c r="Q44" s="705">
        <f t="shared" si="6"/>
        <v>803030606.71846092</v>
      </c>
      <c r="R44" s="705">
        <f t="shared" si="6"/>
        <v>823977526.93487203</v>
      </c>
      <c r="S44" s="705">
        <f t="shared" si="6"/>
        <v>781495724.48297811</v>
      </c>
      <c r="T44" s="705">
        <f t="shared" si="6"/>
        <v>706187048.03712845</v>
      </c>
      <c r="U44" s="705">
        <f t="shared" si="6"/>
        <v>924795863.74346697</v>
      </c>
      <c r="V44" s="705">
        <f t="shared" si="6"/>
        <v>935920532.33419037</v>
      </c>
      <c r="W44" s="705">
        <f t="shared" si="6"/>
        <v>983179443.95056999</v>
      </c>
      <c r="X44" s="705">
        <f t="shared" si="6"/>
        <v>1041902390.2004038</v>
      </c>
      <c r="Y44" s="705">
        <f t="shared" si="6"/>
        <v>1098425859.802279</v>
      </c>
      <c r="Z44" s="705">
        <f t="shared" si="6"/>
        <v>1116170876.5147426</v>
      </c>
      <c r="AA44" s="705">
        <f t="shared" si="6"/>
        <v>3730459214.0146317</v>
      </c>
      <c r="AB44" s="705">
        <f t="shared" si="6"/>
        <v>3659979662.685854</v>
      </c>
      <c r="AC44" s="705">
        <f t="shared" si="6"/>
        <v>4285341341.2492414</v>
      </c>
      <c r="AD44" s="706">
        <f t="shared" si="6"/>
        <v>3930310320.1772971</v>
      </c>
      <c r="AE44" s="706">
        <f t="shared" si="6"/>
        <v>5047438847.880518</v>
      </c>
      <c r="AF44" s="706">
        <f t="shared" si="6"/>
        <v>6335594988.0558586</v>
      </c>
      <c r="AG44" s="706">
        <f t="shared" si="6"/>
        <v>6496114398.4465179</v>
      </c>
      <c r="AH44" s="706">
        <f t="shared" si="6"/>
        <v>6506374536.6426077</v>
      </c>
      <c r="AI44" s="706">
        <f t="shared" si="6"/>
        <v>6553337364.1468706</v>
      </c>
      <c r="AJ44" s="706">
        <f t="shared" si="6"/>
        <v>7550883895.9155436</v>
      </c>
      <c r="AK44" s="706">
        <f t="shared" si="6"/>
        <v>8113044782.7763166</v>
      </c>
      <c r="AL44" s="706">
        <f t="shared" si="6"/>
        <v>8353866197.2666559</v>
      </c>
      <c r="AM44" s="707">
        <v>34233077669.137543</v>
      </c>
      <c r="AN44" s="706">
        <f t="shared" si="6"/>
        <v>27776796968.824249</v>
      </c>
      <c r="AO44" s="706">
        <f t="shared" si="6"/>
        <v>31885522381.310616</v>
      </c>
      <c r="AP44" s="706">
        <f t="shared" si="6"/>
        <v>16563845586.126457</v>
      </c>
      <c r="AQ44" s="706">
        <f t="shared" si="6"/>
        <v>20246333478.665295</v>
      </c>
      <c r="AR44" s="706">
        <f t="shared" si="6"/>
        <v>18780329917.76239</v>
      </c>
      <c r="AS44" s="706">
        <f t="shared" si="6"/>
        <v>21178264882.068485</v>
      </c>
      <c r="AT44" s="706">
        <f t="shared" si="6"/>
        <v>20417885158.357967</v>
      </c>
      <c r="AU44" s="706">
        <f t="shared" si="6"/>
        <v>22659916746.478489</v>
      </c>
      <c r="AV44" s="706">
        <f t="shared" si="6"/>
        <v>24304332471.856693</v>
      </c>
      <c r="AW44" s="706">
        <f t="shared" si="6"/>
        <v>23429018093.210335</v>
      </c>
      <c r="AX44" s="706">
        <f t="shared" si="6"/>
        <v>23323841032.080105</v>
      </c>
      <c r="AY44" s="707">
        <v>24550296497.139294</v>
      </c>
      <c r="AZ44" s="706">
        <f t="shared" si="6"/>
        <v>23438016863.301712</v>
      </c>
      <c r="BA44" s="706">
        <f t="shared" si="6"/>
        <v>28978241481.01862</v>
      </c>
      <c r="BB44" s="706">
        <v>25713837456.993675</v>
      </c>
      <c r="BC44" s="706">
        <f t="shared" si="6"/>
        <v>24864019687.086227</v>
      </c>
      <c r="BD44" s="706">
        <f t="shared" si="6"/>
        <v>23997698723.576073</v>
      </c>
      <c r="BE44" s="706">
        <f t="shared" si="6"/>
        <v>23543221963.645031</v>
      </c>
      <c r="BF44" s="707">
        <v>21809690821.803108</v>
      </c>
      <c r="BG44" s="706">
        <f t="shared" si="6"/>
        <v>20132008926.381603</v>
      </c>
      <c r="BH44" s="707">
        <v>21681073764.313034</v>
      </c>
      <c r="BI44" s="706">
        <f t="shared" si="6"/>
        <v>21437295068.046585</v>
      </c>
      <c r="BJ44" s="706">
        <f t="shared" si="6"/>
        <v>18207117759.530361</v>
      </c>
    </row>
    <row r="45" spans="1:62">
      <c r="A45" s="1232"/>
      <c r="B45" s="708" t="str">
        <f t="shared" si="4"/>
        <v>BENIN</v>
      </c>
      <c r="C45" s="709">
        <f t="shared" si="6"/>
        <v>2818251841.5260825</v>
      </c>
      <c r="D45" s="709">
        <f t="shared" si="6"/>
        <v>2528515731.9135723</v>
      </c>
      <c r="E45" s="709">
        <f t="shared" si="6"/>
        <v>2705415736.5461402</v>
      </c>
      <c r="F45" s="709">
        <f t="shared" si="6"/>
        <v>2664929575.7120905</v>
      </c>
      <c r="G45" s="709">
        <f t="shared" si="6"/>
        <v>2824719296.4438891</v>
      </c>
      <c r="H45" s="709">
        <f t="shared" si="6"/>
        <v>2629705903.9337716</v>
      </c>
      <c r="I45" s="709">
        <f t="shared" si="6"/>
        <v>2749425387.6133461</v>
      </c>
      <c r="J45" s="709">
        <f t="shared" si="6"/>
        <v>2570067138.7282825</v>
      </c>
      <c r="K45" s="709">
        <f t="shared" si="6"/>
        <v>2453124078.8184338</v>
      </c>
      <c r="L45" s="709">
        <f t="shared" si="6"/>
        <v>2628729498.2609572</v>
      </c>
      <c r="M45" s="709">
        <f t="shared" si="6"/>
        <v>2565453620.8724413</v>
      </c>
      <c r="N45" s="709">
        <f t="shared" si="6"/>
        <v>2785089522.3918858</v>
      </c>
      <c r="O45" s="709">
        <f t="shared" si="6"/>
        <v>1102482622.6426356</v>
      </c>
      <c r="P45" s="709">
        <f t="shared" si="6"/>
        <v>1009226459.6699631</v>
      </c>
      <c r="Q45" s="709">
        <f t="shared" si="6"/>
        <v>1031708781.5465201</v>
      </c>
      <c r="R45" s="709">
        <f t="shared" si="6"/>
        <v>938646342.9862175</v>
      </c>
      <c r="S45" s="709">
        <f t="shared" si="6"/>
        <v>975957191.03735423</v>
      </c>
      <c r="T45" s="709">
        <f t="shared" si="6"/>
        <v>930115015.11452353</v>
      </c>
      <c r="U45" s="709">
        <f t="shared" si="6"/>
        <v>994350304.24888206</v>
      </c>
      <c r="V45" s="709">
        <f t="shared" si="6"/>
        <v>1029843075.0073539</v>
      </c>
      <c r="W45" s="709">
        <f t="shared" si="6"/>
        <v>1065208147.1796464</v>
      </c>
      <c r="X45" s="709">
        <f t="shared" si="6"/>
        <v>1051135234.3835452</v>
      </c>
      <c r="Y45" s="709">
        <f t="shared" si="6"/>
        <v>1121467982.4295876</v>
      </c>
      <c r="Z45" s="709">
        <f t="shared" si="6"/>
        <v>1085021351.1131797</v>
      </c>
      <c r="AA45" s="709">
        <f t="shared" si="6"/>
        <v>3253410460.6472158</v>
      </c>
      <c r="AB45" s="709">
        <f t="shared" si="6"/>
        <v>3190887686.2504263</v>
      </c>
      <c r="AC45" s="709">
        <f t="shared" si="6"/>
        <v>3493185820.9909806</v>
      </c>
      <c r="AD45" s="710">
        <f t="shared" si="6"/>
        <v>3371418426.8269067</v>
      </c>
      <c r="AE45" s="710">
        <f t="shared" si="6"/>
        <v>4603331653.6987228</v>
      </c>
      <c r="AF45" s="710">
        <f t="shared" si="6"/>
        <v>5224224751.680933</v>
      </c>
      <c r="AG45" s="710">
        <f t="shared" si="6"/>
        <v>5121560155.0823822</v>
      </c>
      <c r="AH45" s="710">
        <f t="shared" si="6"/>
        <v>5039028288.173687</v>
      </c>
      <c r="AI45" s="710">
        <f t="shared" si="6"/>
        <v>5477411503.1961908</v>
      </c>
      <c r="AJ45" s="710">
        <f t="shared" si="6"/>
        <v>6046951741.6163836</v>
      </c>
      <c r="AK45" s="710">
        <f t="shared" si="6"/>
        <v>6300984370.7253532</v>
      </c>
      <c r="AL45" s="710">
        <f t="shared" si="6"/>
        <v>6697507447.8863821</v>
      </c>
      <c r="AM45" s="711">
        <v>18901019409.716545</v>
      </c>
      <c r="AN45" s="710">
        <f t="shared" si="6"/>
        <v>15562915581.003958</v>
      </c>
      <c r="AO45" s="710">
        <f t="shared" si="6"/>
        <v>16919357594.034336</v>
      </c>
      <c r="AP45" s="710">
        <f t="shared" si="6"/>
        <v>8404663997.3323689</v>
      </c>
      <c r="AQ45" s="710">
        <f t="shared" si="6"/>
        <v>10933144968.244444</v>
      </c>
      <c r="AR45" s="710">
        <f t="shared" si="6"/>
        <v>11107025998.62726</v>
      </c>
      <c r="AS45" s="710">
        <f t="shared" si="6"/>
        <v>12762627691.719807</v>
      </c>
      <c r="AT45" s="710">
        <f t="shared" si="6"/>
        <v>12432285219.373465</v>
      </c>
      <c r="AU45" s="710">
        <f t="shared" si="6"/>
        <v>14893631011.796495</v>
      </c>
      <c r="AV45" s="710">
        <f t="shared" si="6"/>
        <v>15083828804.637739</v>
      </c>
      <c r="AW45" s="710">
        <f t="shared" si="6"/>
        <v>15835961603.540371</v>
      </c>
      <c r="AX45" s="710">
        <f t="shared" si="6"/>
        <v>16299911971.089792</v>
      </c>
      <c r="AY45" s="711">
        <v>18713138629.13736</v>
      </c>
      <c r="AZ45" s="710">
        <f t="shared" si="6"/>
        <v>15765352743.782391</v>
      </c>
      <c r="BA45" s="710">
        <f t="shared" si="6"/>
        <v>17372945336.396137</v>
      </c>
      <c r="BB45" s="710">
        <v>15567347672.301613</v>
      </c>
      <c r="BC45" s="710">
        <f t="shared" si="6"/>
        <v>16972066125.010506</v>
      </c>
      <c r="BD45" s="710">
        <f t="shared" si="6"/>
        <v>13967393427.77914</v>
      </c>
      <c r="BE45" s="710">
        <f t="shared" si="6"/>
        <v>15890193648.603289</v>
      </c>
      <c r="BF45" s="711">
        <v>14252972489.935207</v>
      </c>
      <c r="BG45" s="710">
        <f t="shared" si="6"/>
        <v>12580037088.850174</v>
      </c>
      <c r="BH45" s="711">
        <v>14217068583.933512</v>
      </c>
      <c r="BI45" s="710">
        <f t="shared" si="6"/>
        <v>12867855520.604834</v>
      </c>
      <c r="BJ45" s="710">
        <f t="shared" si="6"/>
        <v>10566109575.849174</v>
      </c>
    </row>
    <row r="46" spans="1:62">
      <c r="A46" s="1232"/>
      <c r="B46" s="708" t="str">
        <f t="shared" si="4"/>
        <v>EKO</v>
      </c>
      <c r="C46" s="709">
        <f t="shared" si="6"/>
        <v>2259953406.3564363</v>
      </c>
      <c r="D46" s="709">
        <f t="shared" si="6"/>
        <v>2070532308.28073</v>
      </c>
      <c r="E46" s="709">
        <f t="shared" si="6"/>
        <v>2070882791.7738624</v>
      </c>
      <c r="F46" s="709">
        <f t="shared" si="6"/>
        <v>2057294277.3693449</v>
      </c>
      <c r="G46" s="709">
        <f t="shared" si="6"/>
        <v>2164127739.4739323</v>
      </c>
      <c r="H46" s="709">
        <f t="shared" si="6"/>
        <v>1998086620.9136472</v>
      </c>
      <c r="I46" s="709">
        <f t="shared" si="6"/>
        <v>2058171421.5447845</v>
      </c>
      <c r="J46" s="709">
        <f t="shared" si="6"/>
        <v>2060786978.2223685</v>
      </c>
      <c r="K46" s="709">
        <f t="shared" si="6"/>
        <v>1855722845.4044414</v>
      </c>
      <c r="L46" s="709">
        <f t="shared" si="6"/>
        <v>2070439442.742399</v>
      </c>
      <c r="M46" s="709">
        <f t="shared" si="6"/>
        <v>1996659783.7030535</v>
      </c>
      <c r="N46" s="709">
        <f t="shared" si="6"/>
        <v>2142529015.1927371</v>
      </c>
      <c r="O46" s="709">
        <f t="shared" si="6"/>
        <v>1132589652.9276319</v>
      </c>
      <c r="P46" s="709">
        <f t="shared" si="6"/>
        <v>1012710216.6784536</v>
      </c>
      <c r="Q46" s="709">
        <f t="shared" si="6"/>
        <v>932459415.25302267</v>
      </c>
      <c r="R46" s="709">
        <f t="shared" si="6"/>
        <v>959487248.40215421</v>
      </c>
      <c r="S46" s="709">
        <f t="shared" si="6"/>
        <v>1024165146.9752345</v>
      </c>
      <c r="T46" s="709">
        <f t="shared" si="6"/>
        <v>883611274.23260891</v>
      </c>
      <c r="U46" s="709">
        <f t="shared" si="6"/>
        <v>937557575.23960495</v>
      </c>
      <c r="V46" s="709">
        <f t="shared" si="6"/>
        <v>1108821922.2912438</v>
      </c>
      <c r="W46" s="709">
        <f t="shared" si="6"/>
        <v>953288032.32916188</v>
      </c>
      <c r="X46" s="709">
        <f t="shared" si="6"/>
        <v>905410196.01028788</v>
      </c>
      <c r="Y46" s="709">
        <f t="shared" si="6"/>
        <v>976734835.04646182</v>
      </c>
      <c r="Z46" s="709">
        <f t="shared" si="6"/>
        <v>1094062456.4298379</v>
      </c>
      <c r="AA46" s="709">
        <f t="shared" si="6"/>
        <v>3435907075.6637497</v>
      </c>
      <c r="AB46" s="709">
        <f t="shared" si="6"/>
        <v>3090380535.4566236</v>
      </c>
      <c r="AC46" s="709">
        <f t="shared" si="6"/>
        <v>3499392255.2580233</v>
      </c>
      <c r="AD46" s="710">
        <f t="shared" si="6"/>
        <v>2980840530.1812143</v>
      </c>
      <c r="AE46" s="710">
        <f t="shared" si="6"/>
        <v>4276752495.8053484</v>
      </c>
      <c r="AF46" s="710">
        <f t="shared" si="6"/>
        <v>5148450253.3584166</v>
      </c>
      <c r="AG46" s="710">
        <f t="shared" si="6"/>
        <v>5519215313.7315893</v>
      </c>
      <c r="AH46" s="710">
        <f t="shared" si="6"/>
        <v>5675986000.5502796</v>
      </c>
      <c r="AI46" s="710">
        <f t="shared" si="6"/>
        <v>6304141358.5679407</v>
      </c>
      <c r="AJ46" s="710">
        <f t="shared" si="6"/>
        <v>7797402554.3024282</v>
      </c>
      <c r="AK46" s="710">
        <f t="shared" si="6"/>
        <v>8766172962.507225</v>
      </c>
      <c r="AL46" s="710">
        <f t="shared" si="6"/>
        <v>8885882687.888195</v>
      </c>
      <c r="AM46" s="711">
        <v>30969317276.895519</v>
      </c>
      <c r="AN46" s="710">
        <f t="shared" si="6"/>
        <v>23030800458.78965</v>
      </c>
      <c r="AO46" s="710">
        <f t="shared" si="6"/>
        <v>27905646751.266586</v>
      </c>
      <c r="AP46" s="710">
        <f t="shared" si="6"/>
        <v>12646720568.886765</v>
      </c>
      <c r="AQ46" s="710">
        <f t="shared" si="6"/>
        <v>16211314061.414019</v>
      </c>
      <c r="AR46" s="710">
        <f t="shared" si="6"/>
        <v>14612163296.251732</v>
      </c>
      <c r="AS46" s="710">
        <f t="shared" si="6"/>
        <v>15901507793.017645</v>
      </c>
      <c r="AT46" s="710">
        <f t="shared" si="6"/>
        <v>15240466267.152014</v>
      </c>
      <c r="AU46" s="710">
        <f t="shared" si="6"/>
        <v>18747042591.423801</v>
      </c>
      <c r="AV46" s="710">
        <f t="shared" si="6"/>
        <v>18569156470.43206</v>
      </c>
      <c r="AW46" s="710">
        <f t="shared" si="6"/>
        <v>17590143892.770477</v>
      </c>
      <c r="AX46" s="710">
        <f t="shared" si="6"/>
        <v>19373949670.486431</v>
      </c>
      <c r="AY46" s="711">
        <v>23535196970.508606</v>
      </c>
      <c r="AZ46" s="710">
        <f t="shared" si="6"/>
        <v>21104026047.973141</v>
      </c>
      <c r="BA46" s="710">
        <f t="shared" si="6"/>
        <v>23069160629.71703</v>
      </c>
      <c r="BB46" s="710">
        <v>19794186635.011307</v>
      </c>
      <c r="BC46" s="710">
        <f t="shared" si="6"/>
        <v>21890364432.056511</v>
      </c>
      <c r="BD46" s="710">
        <f t="shared" si="6"/>
        <v>19562235460.421726</v>
      </c>
      <c r="BE46" s="710">
        <f t="shared" si="6"/>
        <v>19554219917.007835</v>
      </c>
      <c r="BF46" s="711">
        <v>18185270275.270428</v>
      </c>
      <c r="BG46" s="710">
        <f t="shared" si="6"/>
        <v>16445117743.795122</v>
      </c>
      <c r="BH46" s="711">
        <v>18316763776.924385</v>
      </c>
      <c r="BI46" s="710">
        <f t="shared" si="6"/>
        <v>16490416862.202892</v>
      </c>
      <c r="BJ46" s="710">
        <f t="shared" si="6"/>
        <v>14104987765.611526</v>
      </c>
    </row>
    <row r="47" spans="1:62">
      <c r="A47" s="1232"/>
      <c r="B47" s="708" t="str">
        <f t="shared" si="4"/>
        <v>ENUGU</v>
      </c>
      <c r="C47" s="709">
        <f t="shared" si="6"/>
        <v>1959477025.4457738</v>
      </c>
      <c r="D47" s="709">
        <f t="shared" si="6"/>
        <v>1780369491.2731297</v>
      </c>
      <c r="E47" s="709">
        <f t="shared" si="6"/>
        <v>1791934149.5501835</v>
      </c>
      <c r="F47" s="709">
        <f t="shared" si="6"/>
        <v>1760669056.8626842</v>
      </c>
      <c r="G47" s="709">
        <f t="shared" si="6"/>
        <v>1832854285.9415157</v>
      </c>
      <c r="H47" s="709">
        <f t="shared" si="6"/>
        <v>1719969158.6002271</v>
      </c>
      <c r="I47" s="709">
        <f t="shared" si="6"/>
        <v>1812915316.6392837</v>
      </c>
      <c r="J47" s="709">
        <f t="shared" si="6"/>
        <v>1706701815.3641546</v>
      </c>
      <c r="K47" s="709">
        <f t="shared" si="6"/>
        <v>1615344507.4691908</v>
      </c>
      <c r="L47" s="709">
        <f t="shared" si="6"/>
        <v>1744248497.3966839</v>
      </c>
      <c r="M47" s="709">
        <f t="shared" si="6"/>
        <v>1728927650.6967375</v>
      </c>
      <c r="N47" s="709">
        <f t="shared" si="6"/>
        <v>1839515726.9261177</v>
      </c>
      <c r="O47" s="709">
        <f t="shared" si="6"/>
        <v>746200761.94850159</v>
      </c>
      <c r="P47" s="709">
        <f t="shared" si="6"/>
        <v>707220545.67529988</v>
      </c>
      <c r="Q47" s="709">
        <f t="shared" si="6"/>
        <v>697884030.12827909</v>
      </c>
      <c r="R47" s="709">
        <f t="shared" si="6"/>
        <v>639577576.05563581</v>
      </c>
      <c r="S47" s="709">
        <f t="shared" si="6"/>
        <v>638621965.47085428</v>
      </c>
      <c r="T47" s="709">
        <f t="shared" si="6"/>
        <v>609895453.9433316</v>
      </c>
      <c r="U47" s="709">
        <f t="shared" si="6"/>
        <v>695869128.45436168</v>
      </c>
      <c r="V47" s="709">
        <f t="shared" si="6"/>
        <v>706140000.37955499</v>
      </c>
      <c r="W47" s="709">
        <f t="shared" si="6"/>
        <v>667588644.60991919</v>
      </c>
      <c r="X47" s="709">
        <f t="shared" si="6"/>
        <v>658757322.69902408</v>
      </c>
      <c r="Y47" s="709">
        <f t="shared" si="6"/>
        <v>716716650.52312982</v>
      </c>
      <c r="Z47" s="709">
        <f t="shared" si="6"/>
        <v>781863294.46470046</v>
      </c>
      <c r="AA47" s="709">
        <f t="shared" si="6"/>
        <v>2875586949.9037604</v>
      </c>
      <c r="AB47" s="709">
        <f t="shared" si="6"/>
        <v>2941259948.6816902</v>
      </c>
      <c r="AC47" s="709">
        <f t="shared" si="6"/>
        <v>2967161148.0538821</v>
      </c>
      <c r="AD47" s="710">
        <f t="shared" si="6"/>
        <v>2900580083.4522219</v>
      </c>
      <c r="AE47" s="710">
        <f t="shared" si="6"/>
        <v>3796903455.946867</v>
      </c>
      <c r="AF47" s="710">
        <f t="shared" si="6"/>
        <v>4457388564.9891596</v>
      </c>
      <c r="AG47" s="710">
        <f t="shared" si="6"/>
        <v>4281988785.8069887</v>
      </c>
      <c r="AH47" s="710">
        <f t="shared" si="6"/>
        <v>4312023378.2374773</v>
      </c>
      <c r="AI47" s="710">
        <f t="shared" si="6"/>
        <v>4509241846.5921154</v>
      </c>
      <c r="AJ47" s="710">
        <f t="shared" si="6"/>
        <v>5444103266.2762842</v>
      </c>
      <c r="AK47" s="710">
        <f t="shared" si="6"/>
        <v>5584808426.0257893</v>
      </c>
      <c r="AL47" s="710">
        <f t="shared" si="6"/>
        <v>6186955385.3778334</v>
      </c>
      <c r="AM47" s="711">
        <v>19365022381.995079</v>
      </c>
      <c r="AN47" s="710">
        <f t="shared" si="6"/>
        <v>14929984641.165974</v>
      </c>
      <c r="AO47" s="710">
        <f t="shared" si="6"/>
        <v>16514617567.407585</v>
      </c>
      <c r="AP47" s="710">
        <f t="shared" si="6"/>
        <v>8593845151.0381603</v>
      </c>
      <c r="AQ47" s="710">
        <f t="shared" si="6"/>
        <v>10202340819.235144</v>
      </c>
      <c r="AR47" s="710">
        <f t="shared" si="6"/>
        <v>10968446479.733047</v>
      </c>
      <c r="AS47" s="710">
        <f t="shared" si="6"/>
        <v>12214432581.281788</v>
      </c>
      <c r="AT47" s="710">
        <f t="shared" si="6"/>
        <v>12339513736.660002</v>
      </c>
      <c r="AU47" s="710">
        <f t="shared" si="6"/>
        <v>13887450018.151842</v>
      </c>
      <c r="AV47" s="710">
        <f t="shared" si="6"/>
        <v>13908157158.323338</v>
      </c>
      <c r="AW47" s="710">
        <f t="shared" si="6"/>
        <v>13983270051.747763</v>
      </c>
      <c r="AX47" s="710">
        <f t="shared" si="6"/>
        <v>14426818753.898319</v>
      </c>
      <c r="AY47" s="711">
        <v>15680358690.302654</v>
      </c>
      <c r="AZ47" s="710">
        <f t="shared" si="6"/>
        <v>14465557772.370304</v>
      </c>
      <c r="BA47" s="710">
        <f t="shared" si="6"/>
        <v>16809627863.827698</v>
      </c>
      <c r="BB47" s="710">
        <v>15447582377.226284</v>
      </c>
      <c r="BC47" s="710">
        <f t="shared" si="6"/>
        <v>14414944467.120359</v>
      </c>
      <c r="BD47" s="710">
        <f t="shared" si="6"/>
        <v>14187067479.6229</v>
      </c>
      <c r="BE47" s="710">
        <f t="shared" si="6"/>
        <v>14107768784.379671</v>
      </c>
      <c r="BF47" s="711">
        <v>12913851856.432655</v>
      </c>
      <c r="BG47" s="710">
        <f t="shared" si="6"/>
        <v>12509088384.666439</v>
      </c>
      <c r="BH47" s="711">
        <v>13146712795.75098</v>
      </c>
      <c r="BI47" s="710">
        <f t="shared" si="6"/>
        <v>12184883429.729698</v>
      </c>
      <c r="BJ47" s="710">
        <f t="shared" si="6"/>
        <v>10548151384.229465</v>
      </c>
    </row>
    <row r="48" spans="1:62">
      <c r="A48" s="1232"/>
      <c r="B48" s="708" t="str">
        <f t="shared" si="4"/>
        <v>IBADAN</v>
      </c>
      <c r="C48" s="709">
        <f t="shared" si="6"/>
        <v>2950693809.2784123</v>
      </c>
      <c r="D48" s="709">
        <f t="shared" si="6"/>
        <v>2684295849.1390648</v>
      </c>
      <c r="E48" s="709">
        <f t="shared" si="6"/>
        <v>2716951271.8731403</v>
      </c>
      <c r="F48" s="709">
        <f t="shared" si="6"/>
        <v>2720403515.1283689</v>
      </c>
      <c r="G48" s="709">
        <f t="shared" si="6"/>
        <v>2779007159.4968882</v>
      </c>
      <c r="H48" s="709">
        <f t="shared" si="6"/>
        <v>2466933825.1927962</v>
      </c>
      <c r="I48" s="709">
        <f t="shared" si="6"/>
        <v>2741060726.229804</v>
      </c>
      <c r="J48" s="709">
        <f t="shared" si="6"/>
        <v>2661604429.4345446</v>
      </c>
      <c r="K48" s="709">
        <f t="shared" si="6"/>
        <v>2545465529.0871124</v>
      </c>
      <c r="L48" s="709">
        <f t="shared" si="6"/>
        <v>2705348883.6786809</v>
      </c>
      <c r="M48" s="709">
        <f t="shared" si="6"/>
        <v>2702738081.679832</v>
      </c>
      <c r="N48" s="709">
        <f t="shared" si="6"/>
        <v>2790561716.0012307</v>
      </c>
      <c r="O48" s="709">
        <f t="shared" si="6"/>
        <v>1833071687.5311878</v>
      </c>
      <c r="P48" s="709">
        <f t="shared" si="6"/>
        <v>1610432316.9138861</v>
      </c>
      <c r="Q48" s="709">
        <f t="shared" si="6"/>
        <v>1551885645.5598629</v>
      </c>
      <c r="R48" s="709">
        <f t="shared" si="6"/>
        <v>1574553012.2695704</v>
      </c>
      <c r="S48" s="709">
        <f t="shared" si="6"/>
        <v>1561562443.2293482</v>
      </c>
      <c r="T48" s="709">
        <f t="shared" si="6"/>
        <v>1396625862.9079173</v>
      </c>
      <c r="U48" s="709">
        <f t="shared" si="6"/>
        <v>1628114928.3359883</v>
      </c>
      <c r="V48" s="709">
        <f t="shared" si="6"/>
        <v>1602994113.0402038</v>
      </c>
      <c r="W48" s="709">
        <f t="shared" si="6"/>
        <v>1604990554.6639621</v>
      </c>
      <c r="X48" s="709">
        <f t="shared" si="6"/>
        <v>1603955020.9700546</v>
      </c>
      <c r="Y48" s="709">
        <f t="shared" si="6"/>
        <v>1749916501.8070779</v>
      </c>
      <c r="Z48" s="709">
        <f t="shared" si="6"/>
        <v>1850371742.0600181</v>
      </c>
      <c r="AA48" s="709">
        <f t="shared" si="6"/>
        <v>4665379030.895793</v>
      </c>
      <c r="AB48" s="709">
        <f t="shared" si="6"/>
        <v>4665263965.0143032</v>
      </c>
      <c r="AC48" s="709">
        <f t="shared" si="6"/>
        <v>5244733773.1875639</v>
      </c>
      <c r="AD48" s="710">
        <f t="shared" si="6"/>
        <v>4675259133.7910728</v>
      </c>
      <c r="AE48" s="710">
        <f t="shared" si="6"/>
        <v>6400740601.5324898</v>
      </c>
      <c r="AF48" s="710">
        <f t="shared" si="6"/>
        <v>7165348605.6162119</v>
      </c>
      <c r="AG48" s="710">
        <f t="shared" si="6"/>
        <v>7169485679.2754116</v>
      </c>
      <c r="AH48" s="710">
        <f t="shared" si="6"/>
        <v>7444399209.4637566</v>
      </c>
      <c r="AI48" s="710">
        <f t="shared" si="6"/>
        <v>8245626687.51408</v>
      </c>
      <c r="AJ48" s="710">
        <f t="shared" si="6"/>
        <v>9213672008.1407833</v>
      </c>
      <c r="AK48" s="710">
        <f t="shared" si="6"/>
        <v>10311164056.001648</v>
      </c>
      <c r="AL48" s="710">
        <f t="shared" ref="AL48:BJ54" si="7">AL18*(1-AL33)</f>
        <v>10422442727.499535</v>
      </c>
      <c r="AM48" s="711">
        <v>26224215238.612175</v>
      </c>
      <c r="AN48" s="710">
        <f t="shared" si="7"/>
        <v>22132649770.262981</v>
      </c>
      <c r="AO48" s="710">
        <f t="shared" si="7"/>
        <v>23784423132.994606</v>
      </c>
      <c r="AP48" s="710">
        <f t="shared" si="7"/>
        <v>12047506893.824945</v>
      </c>
      <c r="AQ48" s="710">
        <f t="shared" si="7"/>
        <v>16746730190.220413</v>
      </c>
      <c r="AR48" s="710">
        <f t="shared" si="7"/>
        <v>15757326381.082806</v>
      </c>
      <c r="AS48" s="710">
        <f t="shared" si="7"/>
        <v>18309805328.181183</v>
      </c>
      <c r="AT48" s="710">
        <f t="shared" si="7"/>
        <v>17822774390.327217</v>
      </c>
      <c r="AU48" s="710">
        <f t="shared" si="7"/>
        <v>20835414664.387741</v>
      </c>
      <c r="AV48" s="710">
        <f t="shared" si="7"/>
        <v>20896101308.245457</v>
      </c>
      <c r="AW48" s="710">
        <f t="shared" si="7"/>
        <v>20444222073.886818</v>
      </c>
      <c r="AX48" s="710">
        <f t="shared" si="7"/>
        <v>20992494443.152889</v>
      </c>
      <c r="AY48" s="711">
        <v>22997203021.407421</v>
      </c>
      <c r="AZ48" s="710">
        <f t="shared" si="7"/>
        <v>19565775881.354565</v>
      </c>
      <c r="BA48" s="710">
        <f t="shared" si="7"/>
        <v>21479862784.529003</v>
      </c>
      <c r="BB48" s="710">
        <v>21115930557.451469</v>
      </c>
      <c r="BC48" s="710">
        <f t="shared" si="7"/>
        <v>22051657455.482342</v>
      </c>
      <c r="BD48" s="710">
        <f t="shared" si="7"/>
        <v>20258687221.402515</v>
      </c>
      <c r="BE48" s="710">
        <f t="shared" si="7"/>
        <v>21276967596.874897</v>
      </c>
      <c r="BF48" s="711">
        <v>20405515887.227242</v>
      </c>
      <c r="BG48" s="710">
        <f t="shared" si="7"/>
        <v>18074912787.185009</v>
      </c>
      <c r="BH48" s="711">
        <v>19207923214.754295</v>
      </c>
      <c r="BI48" s="710">
        <f t="shared" si="7"/>
        <v>18206439376.173351</v>
      </c>
      <c r="BJ48" s="710">
        <f t="shared" si="7"/>
        <v>15292899019.304525</v>
      </c>
    </row>
    <row r="49" spans="1:62">
      <c r="A49" s="1232"/>
      <c r="B49" s="708" t="str">
        <f t="shared" si="4"/>
        <v>IKEJA</v>
      </c>
      <c r="C49" s="709">
        <f t="shared" ref="C49:AV54" si="8">C19*(1-C34)</f>
        <v>2206222066.3744802</v>
      </c>
      <c r="D49" s="709">
        <f t="shared" si="8"/>
        <v>2046849604.8420312</v>
      </c>
      <c r="E49" s="709">
        <f t="shared" si="8"/>
        <v>2083857548.6805899</v>
      </c>
      <c r="F49" s="709">
        <f t="shared" si="8"/>
        <v>2082787207.1932173</v>
      </c>
      <c r="G49" s="709">
        <f t="shared" si="8"/>
        <v>2210809113.1851263</v>
      </c>
      <c r="H49" s="709">
        <f t="shared" si="8"/>
        <v>2067148659.1513548</v>
      </c>
      <c r="I49" s="709">
        <f t="shared" si="8"/>
        <v>2094472528.6250882</v>
      </c>
      <c r="J49" s="709">
        <f t="shared" si="8"/>
        <v>2036367767.1135819</v>
      </c>
      <c r="K49" s="709">
        <f t="shared" si="8"/>
        <v>1883280650.5301018</v>
      </c>
      <c r="L49" s="709">
        <f t="shared" si="8"/>
        <v>2038624114.0426502</v>
      </c>
      <c r="M49" s="709">
        <f t="shared" si="8"/>
        <v>1999154140.4815922</v>
      </c>
      <c r="N49" s="709">
        <f t="shared" si="8"/>
        <v>2168290927.4673634</v>
      </c>
      <c r="O49" s="709">
        <f t="shared" si="8"/>
        <v>1559163333.1098444</v>
      </c>
      <c r="P49" s="709">
        <f t="shared" si="8"/>
        <v>1388505981.9695239</v>
      </c>
      <c r="Q49" s="709">
        <f t="shared" si="8"/>
        <v>1325513983.9951127</v>
      </c>
      <c r="R49" s="709">
        <f t="shared" si="8"/>
        <v>1323991549.7536259</v>
      </c>
      <c r="S49" s="709">
        <f t="shared" si="8"/>
        <v>1364476692.1794603</v>
      </c>
      <c r="T49" s="709">
        <f t="shared" si="8"/>
        <v>1188923530.2629893</v>
      </c>
      <c r="U49" s="709">
        <f t="shared" si="8"/>
        <v>1313668820.5480196</v>
      </c>
      <c r="V49" s="709">
        <f t="shared" si="8"/>
        <v>1410895732.3596921</v>
      </c>
      <c r="W49" s="709">
        <f t="shared" si="8"/>
        <v>1488760795.5520918</v>
      </c>
      <c r="X49" s="709">
        <f t="shared" si="8"/>
        <v>1395491649.5169065</v>
      </c>
      <c r="Y49" s="709">
        <f t="shared" si="8"/>
        <v>1546491476.9806569</v>
      </c>
      <c r="Z49" s="709">
        <f t="shared" si="8"/>
        <v>1707282837.9512923</v>
      </c>
      <c r="AA49" s="709">
        <f t="shared" si="8"/>
        <v>4187690682.9906754</v>
      </c>
      <c r="AB49" s="709">
        <f t="shared" si="8"/>
        <v>4238450941.6203971</v>
      </c>
      <c r="AC49" s="709">
        <f t="shared" si="8"/>
        <v>4833937379.4029455</v>
      </c>
      <c r="AD49" s="710">
        <f t="shared" si="8"/>
        <v>4281702409.9117632</v>
      </c>
      <c r="AE49" s="710">
        <f t="shared" si="8"/>
        <v>5836109771.0003786</v>
      </c>
      <c r="AF49" s="710">
        <f t="shared" si="8"/>
        <v>7106902015.6892157</v>
      </c>
      <c r="AG49" s="710">
        <f t="shared" si="8"/>
        <v>7533877242.477952</v>
      </c>
      <c r="AH49" s="710">
        <f t="shared" si="8"/>
        <v>7638165598.516324</v>
      </c>
      <c r="AI49" s="710">
        <f t="shared" si="8"/>
        <v>7535074752.8643179</v>
      </c>
      <c r="AJ49" s="710">
        <f t="shared" si="8"/>
        <v>8087512453.6316729</v>
      </c>
      <c r="AK49" s="710">
        <f t="shared" si="8"/>
        <v>8907175145.1546707</v>
      </c>
      <c r="AL49" s="710">
        <f t="shared" si="8"/>
        <v>9104285733.6702938</v>
      </c>
      <c r="AM49" s="711">
        <v>35841209840.294098</v>
      </c>
      <c r="AN49" s="710">
        <f t="shared" si="8"/>
        <v>27374797458.583126</v>
      </c>
      <c r="AO49" s="710">
        <f t="shared" si="8"/>
        <v>32755068954.959911</v>
      </c>
      <c r="AP49" s="710">
        <f t="shared" si="8"/>
        <v>15405122166.722031</v>
      </c>
      <c r="AQ49" s="710">
        <f t="shared" si="8"/>
        <v>18903424610.939693</v>
      </c>
      <c r="AR49" s="710">
        <f t="shared" si="8"/>
        <v>17310594924.95422</v>
      </c>
      <c r="AS49" s="710">
        <f t="shared" si="8"/>
        <v>18623945684.65641</v>
      </c>
      <c r="AT49" s="710">
        <f t="shared" si="8"/>
        <v>18163987281.989613</v>
      </c>
      <c r="AU49" s="710">
        <f t="shared" si="8"/>
        <v>21690823502.86079</v>
      </c>
      <c r="AV49" s="710">
        <f t="shared" si="8"/>
        <v>22433540679.334091</v>
      </c>
      <c r="AW49" s="710">
        <f t="shared" si="7"/>
        <v>20908422907.983364</v>
      </c>
      <c r="AX49" s="710">
        <f t="shared" si="7"/>
        <v>22707141544.120426</v>
      </c>
      <c r="AY49" s="711">
        <v>26284896542.906406</v>
      </c>
      <c r="AZ49" s="710">
        <f t="shared" si="7"/>
        <v>23387391770.752594</v>
      </c>
      <c r="BA49" s="710">
        <f t="shared" si="7"/>
        <v>26395450090.370316</v>
      </c>
      <c r="BB49" s="710">
        <v>24068581861.582367</v>
      </c>
      <c r="BC49" s="710">
        <f t="shared" si="7"/>
        <v>25728398220.011417</v>
      </c>
      <c r="BD49" s="710">
        <f t="shared" si="7"/>
        <v>23159232629.877815</v>
      </c>
      <c r="BE49" s="710">
        <f t="shared" si="7"/>
        <v>22988712713.39418</v>
      </c>
      <c r="BF49" s="711">
        <v>20234345323.706688</v>
      </c>
      <c r="BG49" s="710">
        <f t="shared" si="7"/>
        <v>18980457576.410675</v>
      </c>
      <c r="BH49" s="711">
        <v>20370547027.571762</v>
      </c>
      <c r="BI49" s="710">
        <f t="shared" si="7"/>
        <v>19203444868.128338</v>
      </c>
      <c r="BJ49" s="710">
        <f t="shared" si="7"/>
        <v>16561176654.856693</v>
      </c>
    </row>
    <row r="50" spans="1:62">
      <c r="A50" s="1232"/>
      <c r="B50" s="708" t="str">
        <f t="shared" si="4"/>
        <v>JOS</v>
      </c>
      <c r="C50" s="709">
        <f t="shared" si="8"/>
        <v>2164743532.2650437</v>
      </c>
      <c r="D50" s="709">
        <f t="shared" si="8"/>
        <v>1969744004.3605194</v>
      </c>
      <c r="E50" s="709">
        <f t="shared" si="8"/>
        <v>2122435690.0313265</v>
      </c>
      <c r="F50" s="709">
        <f t="shared" si="8"/>
        <v>2151068006.9301314</v>
      </c>
      <c r="G50" s="709">
        <f t="shared" si="8"/>
        <v>2319765150.4809852</v>
      </c>
      <c r="H50" s="709">
        <f t="shared" si="8"/>
        <v>2149079674.9145584</v>
      </c>
      <c r="I50" s="709">
        <f t="shared" si="8"/>
        <v>2190064293.835248</v>
      </c>
      <c r="J50" s="709">
        <f t="shared" si="8"/>
        <v>2112751150.1255984</v>
      </c>
      <c r="K50" s="709">
        <f t="shared" si="8"/>
        <v>2001757187.3194561</v>
      </c>
      <c r="L50" s="709">
        <f t="shared" si="8"/>
        <v>2123951307.9202077</v>
      </c>
      <c r="M50" s="709">
        <f t="shared" si="8"/>
        <v>2137370700.186476</v>
      </c>
      <c r="N50" s="709">
        <f t="shared" si="8"/>
        <v>2232447938.3969436</v>
      </c>
      <c r="O50" s="709">
        <f t="shared" si="8"/>
        <v>1400025070.7010033</v>
      </c>
      <c r="P50" s="709">
        <f t="shared" si="8"/>
        <v>1306704912.9935992</v>
      </c>
      <c r="Q50" s="709">
        <f t="shared" si="8"/>
        <v>1340863088.6973498</v>
      </c>
      <c r="R50" s="709">
        <f t="shared" si="8"/>
        <v>1303632400.6198528</v>
      </c>
      <c r="S50" s="709">
        <f t="shared" si="8"/>
        <v>1294268121.1403754</v>
      </c>
      <c r="T50" s="709">
        <f t="shared" si="8"/>
        <v>1195838529.6412792</v>
      </c>
      <c r="U50" s="709">
        <f t="shared" si="8"/>
        <v>1343773326.2345619</v>
      </c>
      <c r="V50" s="709">
        <f t="shared" si="8"/>
        <v>1371919772.3259754</v>
      </c>
      <c r="W50" s="709">
        <f t="shared" si="8"/>
        <v>1432094127.7868099</v>
      </c>
      <c r="X50" s="709">
        <f t="shared" si="8"/>
        <v>1532540272.9874976</v>
      </c>
      <c r="Y50" s="709">
        <f t="shared" si="8"/>
        <v>1577218740.2291555</v>
      </c>
      <c r="Z50" s="709">
        <f t="shared" si="8"/>
        <v>1722278079.9586432</v>
      </c>
      <c r="AA50" s="709">
        <f t="shared" si="8"/>
        <v>2841578050.1124101</v>
      </c>
      <c r="AB50" s="709">
        <f t="shared" si="8"/>
        <v>2755938945.6999893</v>
      </c>
      <c r="AC50" s="709">
        <f t="shared" si="8"/>
        <v>2906386267.7499151</v>
      </c>
      <c r="AD50" s="710">
        <f t="shared" si="8"/>
        <v>2722017513.1866808</v>
      </c>
      <c r="AE50" s="710">
        <f t="shared" si="8"/>
        <v>3491296907.2417216</v>
      </c>
      <c r="AF50" s="710">
        <f t="shared" si="8"/>
        <v>3394903649.4401598</v>
      </c>
      <c r="AG50" s="710">
        <f t="shared" si="8"/>
        <v>4149239997.6218443</v>
      </c>
      <c r="AH50" s="710">
        <f t="shared" si="8"/>
        <v>4068013980.1455531</v>
      </c>
      <c r="AI50" s="710">
        <f t="shared" si="8"/>
        <v>4399015099.0631523</v>
      </c>
      <c r="AJ50" s="710">
        <f t="shared" si="8"/>
        <v>5187856124.6926432</v>
      </c>
      <c r="AK50" s="710">
        <f t="shared" si="8"/>
        <v>5388552776.7889595</v>
      </c>
      <c r="AL50" s="710">
        <f t="shared" si="8"/>
        <v>5667616443.7663956</v>
      </c>
      <c r="AM50" s="711">
        <v>12855811931.874401</v>
      </c>
      <c r="AN50" s="710">
        <f t="shared" si="8"/>
        <v>11620744546.154921</v>
      </c>
      <c r="AO50" s="710">
        <f t="shared" si="8"/>
        <v>12766940110.375628</v>
      </c>
      <c r="AP50" s="710">
        <f t="shared" si="8"/>
        <v>6545383655.1106596</v>
      </c>
      <c r="AQ50" s="710">
        <f t="shared" si="8"/>
        <v>8500621078.9434347</v>
      </c>
      <c r="AR50" s="710">
        <f t="shared" si="8"/>
        <v>9437674216.2719898</v>
      </c>
      <c r="AS50" s="710">
        <f t="shared" si="8"/>
        <v>11326784484.426529</v>
      </c>
      <c r="AT50" s="710">
        <f t="shared" si="8"/>
        <v>9488339223.5275593</v>
      </c>
      <c r="AU50" s="710">
        <f t="shared" si="8"/>
        <v>12585543221.257099</v>
      </c>
      <c r="AV50" s="710">
        <f t="shared" si="8"/>
        <v>8527815812.2865</v>
      </c>
      <c r="AW50" s="710">
        <f t="shared" si="7"/>
        <v>6269962285.9764881</v>
      </c>
      <c r="AX50" s="710">
        <f t="shared" si="7"/>
        <v>7921192106.1214247</v>
      </c>
      <c r="AY50" s="711">
        <v>7964540470.9321871</v>
      </c>
      <c r="AZ50" s="710">
        <f t="shared" si="7"/>
        <v>8328469423.4757099</v>
      </c>
      <c r="BA50" s="710">
        <f t="shared" si="7"/>
        <v>11405691838.599722</v>
      </c>
      <c r="BB50" s="710">
        <v>9910483358.7848301</v>
      </c>
      <c r="BC50" s="710">
        <f t="shared" si="7"/>
        <v>9246250289.8507442</v>
      </c>
      <c r="BD50" s="710">
        <f t="shared" si="7"/>
        <v>7996361286.3299799</v>
      </c>
      <c r="BE50" s="710">
        <f t="shared" si="7"/>
        <v>8265252745.553298</v>
      </c>
      <c r="BF50" s="711">
        <v>8493342174.4219513</v>
      </c>
      <c r="BG50" s="710">
        <f t="shared" si="7"/>
        <v>8042508282.8539724</v>
      </c>
      <c r="BH50" s="711">
        <v>9060287870.4559956</v>
      </c>
      <c r="BI50" s="710">
        <f t="shared" si="7"/>
        <v>7442993538.9482307</v>
      </c>
      <c r="BJ50" s="710">
        <f t="shared" si="7"/>
        <v>7321543075.8235302</v>
      </c>
    </row>
    <row r="51" spans="1:62">
      <c r="A51" s="1232"/>
      <c r="B51" s="708" t="str">
        <f t="shared" si="4"/>
        <v>KADUNA</v>
      </c>
      <c r="C51" s="709">
        <f t="shared" si="8"/>
        <v>1349760887.3840001</v>
      </c>
      <c r="D51" s="709">
        <f t="shared" si="8"/>
        <v>1262943712.1030698</v>
      </c>
      <c r="E51" s="709">
        <f t="shared" si="8"/>
        <v>1375367576.237252</v>
      </c>
      <c r="F51" s="709">
        <f t="shared" si="8"/>
        <v>1463326953.2484856</v>
      </c>
      <c r="G51" s="709">
        <f t="shared" si="8"/>
        <v>1471481778.2518284</v>
      </c>
      <c r="H51" s="709">
        <f t="shared" si="8"/>
        <v>1384725173.7299433</v>
      </c>
      <c r="I51" s="709">
        <f t="shared" si="8"/>
        <v>1402854568.9677999</v>
      </c>
      <c r="J51" s="709">
        <f t="shared" si="8"/>
        <v>1372882006.2439699</v>
      </c>
      <c r="K51" s="709">
        <f t="shared" si="8"/>
        <v>1294134090.4336178</v>
      </c>
      <c r="L51" s="709">
        <f t="shared" si="8"/>
        <v>1429260377.609726</v>
      </c>
      <c r="M51" s="709">
        <f t="shared" si="8"/>
        <v>1397620470.5527999</v>
      </c>
      <c r="N51" s="709">
        <f t="shared" si="8"/>
        <v>1426795059.1049235</v>
      </c>
      <c r="O51" s="709">
        <f t="shared" si="8"/>
        <v>982603500.0131762</v>
      </c>
      <c r="P51" s="709">
        <f t="shared" si="8"/>
        <v>899481941.67814374</v>
      </c>
      <c r="Q51" s="709">
        <f t="shared" si="8"/>
        <v>887153947.97775793</v>
      </c>
      <c r="R51" s="709">
        <f t="shared" si="8"/>
        <v>903263372.74003112</v>
      </c>
      <c r="S51" s="709">
        <f t="shared" si="8"/>
        <v>852853309.60885346</v>
      </c>
      <c r="T51" s="709">
        <f t="shared" si="8"/>
        <v>775559233.01388907</v>
      </c>
      <c r="U51" s="709">
        <f t="shared" si="8"/>
        <v>764688282.42751944</v>
      </c>
      <c r="V51" s="709">
        <f t="shared" si="8"/>
        <v>834442384.52885759</v>
      </c>
      <c r="W51" s="709">
        <f t="shared" si="8"/>
        <v>832147154.44569945</v>
      </c>
      <c r="X51" s="709">
        <f t="shared" si="8"/>
        <v>878695992.73361146</v>
      </c>
      <c r="Y51" s="709">
        <f t="shared" si="8"/>
        <v>882068757.70352316</v>
      </c>
      <c r="Z51" s="709">
        <f t="shared" si="8"/>
        <v>927343365.62522233</v>
      </c>
      <c r="AA51" s="709">
        <f t="shared" si="8"/>
        <v>2701310825.4403019</v>
      </c>
      <c r="AB51" s="709">
        <f t="shared" si="8"/>
        <v>2623591296.9941816</v>
      </c>
      <c r="AC51" s="709">
        <f t="shared" si="8"/>
        <v>2758826509.0209947</v>
      </c>
      <c r="AD51" s="710">
        <f t="shared" si="8"/>
        <v>2352541380.8779502</v>
      </c>
      <c r="AE51" s="710">
        <f t="shared" si="8"/>
        <v>2805657741.7151928</v>
      </c>
      <c r="AF51" s="710">
        <f t="shared" si="8"/>
        <v>3037387518.160533</v>
      </c>
      <c r="AG51" s="710">
        <f t="shared" si="8"/>
        <v>3789453322.6427898</v>
      </c>
      <c r="AH51" s="710">
        <f t="shared" si="8"/>
        <v>3795001009.4240313</v>
      </c>
      <c r="AI51" s="710">
        <f t="shared" si="8"/>
        <v>3772205450.7527146</v>
      </c>
      <c r="AJ51" s="710">
        <f t="shared" si="8"/>
        <v>5223395485.9874277</v>
      </c>
      <c r="AK51" s="710">
        <f t="shared" si="8"/>
        <v>5545918197.6466932</v>
      </c>
      <c r="AL51" s="710">
        <f t="shared" si="8"/>
        <v>5292502990.8971014</v>
      </c>
      <c r="AM51" s="711">
        <v>14534292585.086945</v>
      </c>
      <c r="AN51" s="710">
        <f t="shared" si="8"/>
        <v>12665557239.503788</v>
      </c>
      <c r="AO51" s="710">
        <f t="shared" si="8"/>
        <v>14188577632.547941</v>
      </c>
      <c r="AP51" s="710">
        <f t="shared" si="8"/>
        <v>7470292085.4987793</v>
      </c>
      <c r="AQ51" s="710">
        <f t="shared" si="8"/>
        <v>9681433871.1140842</v>
      </c>
      <c r="AR51" s="710">
        <f t="shared" si="8"/>
        <v>9372078953.2926502</v>
      </c>
      <c r="AS51" s="710">
        <f t="shared" si="8"/>
        <v>10673286582.032373</v>
      </c>
      <c r="AT51" s="710">
        <f t="shared" si="8"/>
        <v>9999994148.2778473</v>
      </c>
      <c r="AU51" s="710">
        <f t="shared" si="8"/>
        <v>13353858609.687893</v>
      </c>
      <c r="AV51" s="710">
        <f t="shared" si="8"/>
        <v>9365244378.5629444</v>
      </c>
      <c r="AW51" s="710">
        <f t="shared" si="7"/>
        <v>7724060814.2281199</v>
      </c>
      <c r="AX51" s="710">
        <f t="shared" si="7"/>
        <v>9115034145.5977325</v>
      </c>
      <c r="AY51" s="711">
        <v>10314339494.271004</v>
      </c>
      <c r="AZ51" s="710">
        <f t="shared" si="7"/>
        <v>8642810376.4228439</v>
      </c>
      <c r="BA51" s="710">
        <f t="shared" si="7"/>
        <v>13677945816.047722</v>
      </c>
      <c r="BB51" s="710">
        <v>11956195222.376289</v>
      </c>
      <c r="BC51" s="710">
        <f t="shared" si="7"/>
        <v>10422127224.526012</v>
      </c>
      <c r="BD51" s="710">
        <f t="shared" si="7"/>
        <v>9934522411.5685291</v>
      </c>
      <c r="BE51" s="710">
        <f t="shared" si="7"/>
        <v>10210264527.81085</v>
      </c>
      <c r="BF51" s="711">
        <v>9989781032.4825859</v>
      </c>
      <c r="BG51" s="710">
        <f t="shared" si="7"/>
        <v>9124920890.2908592</v>
      </c>
      <c r="BH51" s="711">
        <v>10308980084.505232</v>
      </c>
      <c r="BI51" s="710">
        <f t="shared" si="7"/>
        <v>9735585063.8153229</v>
      </c>
      <c r="BJ51" s="710">
        <f t="shared" si="7"/>
        <v>8377721179.0650396</v>
      </c>
    </row>
    <row r="52" spans="1:62">
      <c r="A52" s="1232"/>
      <c r="B52" s="708" t="str">
        <f t="shared" si="4"/>
        <v>KANO</v>
      </c>
      <c r="C52" s="709">
        <f t="shared" si="8"/>
        <v>1087300937.7358458</v>
      </c>
      <c r="D52" s="709">
        <f t="shared" si="8"/>
        <v>1007428825.7126523</v>
      </c>
      <c r="E52" s="709">
        <f t="shared" si="8"/>
        <v>1083844984.0675356</v>
      </c>
      <c r="F52" s="709">
        <f t="shared" si="8"/>
        <v>1075573680.667794</v>
      </c>
      <c r="G52" s="709">
        <f t="shared" si="8"/>
        <v>1151611576.3378673</v>
      </c>
      <c r="H52" s="709">
        <f t="shared" si="8"/>
        <v>1040965541.6261506</v>
      </c>
      <c r="I52" s="709">
        <f t="shared" si="8"/>
        <v>988086306.75345576</v>
      </c>
      <c r="J52" s="709">
        <f t="shared" si="8"/>
        <v>1020520335.3765521</v>
      </c>
      <c r="K52" s="709">
        <f t="shared" si="8"/>
        <v>927529119.95727277</v>
      </c>
      <c r="L52" s="709">
        <f t="shared" si="8"/>
        <v>1078978117.293911</v>
      </c>
      <c r="M52" s="709">
        <f t="shared" si="8"/>
        <v>1074875930.2931917</v>
      </c>
      <c r="N52" s="709">
        <f t="shared" si="8"/>
        <v>1146254844.3578181</v>
      </c>
      <c r="O52" s="709">
        <f t="shared" si="8"/>
        <v>959901569.81848526</v>
      </c>
      <c r="P52" s="709">
        <f t="shared" si="8"/>
        <v>876626494.31234527</v>
      </c>
      <c r="Q52" s="709">
        <f t="shared" si="8"/>
        <v>798588420.46342897</v>
      </c>
      <c r="R52" s="709">
        <f t="shared" si="8"/>
        <v>836246241.98051882</v>
      </c>
      <c r="S52" s="709">
        <f t="shared" si="8"/>
        <v>772096639.17828429</v>
      </c>
      <c r="T52" s="709">
        <f t="shared" si="8"/>
        <v>708524128.04207218</v>
      </c>
      <c r="U52" s="709">
        <f t="shared" si="8"/>
        <v>770374230.25000668</v>
      </c>
      <c r="V52" s="709">
        <f t="shared" si="8"/>
        <v>828045622.92354345</v>
      </c>
      <c r="W52" s="709">
        <f t="shared" si="8"/>
        <v>799636973.28734064</v>
      </c>
      <c r="X52" s="709">
        <f t="shared" si="8"/>
        <v>887166879.01078522</v>
      </c>
      <c r="Y52" s="709">
        <f t="shared" si="8"/>
        <v>918932706.55616629</v>
      </c>
      <c r="Z52" s="709">
        <f t="shared" si="8"/>
        <v>949596882.60663617</v>
      </c>
      <c r="AA52" s="709">
        <f t="shared" si="8"/>
        <v>2743368137.1949401</v>
      </c>
      <c r="AB52" s="709">
        <f t="shared" si="8"/>
        <v>2616914702.6306586</v>
      </c>
      <c r="AC52" s="709">
        <f t="shared" si="8"/>
        <v>2993347236.6940007</v>
      </c>
      <c r="AD52" s="710">
        <f t="shared" si="8"/>
        <v>2489317771.7146568</v>
      </c>
      <c r="AE52" s="710">
        <f t="shared" si="8"/>
        <v>3214765354.4481425</v>
      </c>
      <c r="AF52" s="710">
        <f t="shared" si="8"/>
        <v>3165750107.1436181</v>
      </c>
      <c r="AG52" s="710">
        <f t="shared" si="8"/>
        <v>3610440519.5067072</v>
      </c>
      <c r="AH52" s="710">
        <f t="shared" si="8"/>
        <v>3802415991.8999252</v>
      </c>
      <c r="AI52" s="710">
        <f t="shared" si="8"/>
        <v>4151963618.0115867</v>
      </c>
      <c r="AJ52" s="710">
        <f t="shared" si="8"/>
        <v>5020834877.2118626</v>
      </c>
      <c r="AK52" s="710">
        <f t="shared" si="8"/>
        <v>5455960205.578517</v>
      </c>
      <c r="AL52" s="710">
        <f t="shared" si="8"/>
        <v>5509034771.2093687</v>
      </c>
      <c r="AM52" s="711">
        <v>14392304696.84363</v>
      </c>
      <c r="AN52" s="710">
        <f t="shared" si="8"/>
        <v>12345170499.454914</v>
      </c>
      <c r="AO52" s="710">
        <f t="shared" si="8"/>
        <v>13700266718.201147</v>
      </c>
      <c r="AP52" s="710">
        <f t="shared" si="8"/>
        <v>7355698946.8217344</v>
      </c>
      <c r="AQ52" s="710">
        <f t="shared" si="8"/>
        <v>9783647660.7639809</v>
      </c>
      <c r="AR52" s="710">
        <f t="shared" si="8"/>
        <v>8411636532.7982635</v>
      </c>
      <c r="AS52" s="710">
        <f t="shared" si="8"/>
        <v>10388860276.541824</v>
      </c>
      <c r="AT52" s="710">
        <f t="shared" si="8"/>
        <v>9454600548.6207695</v>
      </c>
      <c r="AU52" s="710">
        <f t="shared" si="8"/>
        <v>14107703396.955009</v>
      </c>
      <c r="AV52" s="710">
        <f t="shared" si="8"/>
        <v>8952964134.0493126</v>
      </c>
      <c r="AW52" s="710">
        <f t="shared" si="7"/>
        <v>6757100190.3507891</v>
      </c>
      <c r="AX52" s="710">
        <f t="shared" si="7"/>
        <v>8774414873.6961594</v>
      </c>
      <c r="AY52" s="711">
        <v>8497080824.982233</v>
      </c>
      <c r="AZ52" s="710">
        <f t="shared" si="7"/>
        <v>8768282234.8267002</v>
      </c>
      <c r="BA52" s="710">
        <f t="shared" si="7"/>
        <v>12890972437.766306</v>
      </c>
      <c r="BB52" s="710">
        <v>11903493296.386482</v>
      </c>
      <c r="BC52" s="710">
        <f t="shared" si="7"/>
        <v>10988435407.48641</v>
      </c>
      <c r="BD52" s="710">
        <f t="shared" si="7"/>
        <v>9815797875.3436775</v>
      </c>
      <c r="BE52" s="710">
        <f t="shared" si="7"/>
        <v>9259502609.2014389</v>
      </c>
      <c r="BF52" s="711">
        <v>9701209319.2964802</v>
      </c>
      <c r="BG52" s="710">
        <f t="shared" si="7"/>
        <v>9257971931.0523472</v>
      </c>
      <c r="BH52" s="711">
        <v>9518426587.7934418</v>
      </c>
      <c r="BI52" s="710">
        <f t="shared" si="7"/>
        <v>9634268264.9334831</v>
      </c>
      <c r="BJ52" s="710">
        <f t="shared" si="7"/>
        <v>8284199229.2419853</v>
      </c>
    </row>
    <row r="53" spans="1:62">
      <c r="A53" s="1232"/>
      <c r="B53" s="708" t="str">
        <f t="shared" si="4"/>
        <v>PH</v>
      </c>
      <c r="C53" s="709">
        <f t="shared" si="8"/>
        <v>1962586242.7751279</v>
      </c>
      <c r="D53" s="709">
        <f t="shared" si="8"/>
        <v>1898097729.5859289</v>
      </c>
      <c r="E53" s="709">
        <f t="shared" si="8"/>
        <v>1980143672.8983061</v>
      </c>
      <c r="F53" s="709">
        <f t="shared" si="8"/>
        <v>2005917645.0745862</v>
      </c>
      <c r="G53" s="709">
        <f t="shared" si="8"/>
        <v>2055891746.6728926</v>
      </c>
      <c r="H53" s="709">
        <f t="shared" si="8"/>
        <v>1910398166.6355183</v>
      </c>
      <c r="I53" s="709">
        <f t="shared" si="8"/>
        <v>2011175802.662899</v>
      </c>
      <c r="J53" s="709">
        <f t="shared" si="8"/>
        <v>1952742038.0049396</v>
      </c>
      <c r="K53" s="709">
        <f t="shared" si="8"/>
        <v>1773598448.9151261</v>
      </c>
      <c r="L53" s="709">
        <f t="shared" si="8"/>
        <v>1933649669.7939904</v>
      </c>
      <c r="M53" s="709">
        <f t="shared" si="8"/>
        <v>1816047059.3753192</v>
      </c>
      <c r="N53" s="709">
        <f t="shared" si="8"/>
        <v>1893891812.1498406</v>
      </c>
      <c r="O53" s="709">
        <f t="shared" si="8"/>
        <v>858559180.21816874</v>
      </c>
      <c r="P53" s="709">
        <f t="shared" si="8"/>
        <v>864453359.93948328</v>
      </c>
      <c r="Q53" s="709">
        <f t="shared" si="8"/>
        <v>848130163.25819957</v>
      </c>
      <c r="R53" s="709">
        <f t="shared" si="8"/>
        <v>799570823.97683048</v>
      </c>
      <c r="S53" s="709">
        <f t="shared" si="8"/>
        <v>790488055.3501749</v>
      </c>
      <c r="T53" s="709">
        <f t="shared" si="8"/>
        <v>771699923.1072073</v>
      </c>
      <c r="U53" s="709">
        <f t="shared" si="8"/>
        <v>977937645.66055501</v>
      </c>
      <c r="V53" s="709">
        <f t="shared" si="8"/>
        <v>945032299.77416956</v>
      </c>
      <c r="W53" s="709">
        <f t="shared" si="8"/>
        <v>963990953.87505877</v>
      </c>
      <c r="X53" s="709">
        <f t="shared" si="8"/>
        <v>943326519.29276872</v>
      </c>
      <c r="Y53" s="709">
        <f t="shared" si="8"/>
        <v>1004926461.3509489</v>
      </c>
      <c r="Z53" s="709">
        <f t="shared" si="8"/>
        <v>1114292314.8019497</v>
      </c>
      <c r="AA53" s="709">
        <f t="shared" si="8"/>
        <v>2643160630.0602503</v>
      </c>
      <c r="AB53" s="709">
        <f t="shared" si="8"/>
        <v>2723228491.9996595</v>
      </c>
      <c r="AC53" s="709">
        <f t="shared" si="8"/>
        <v>2735395825.4367933</v>
      </c>
      <c r="AD53" s="710">
        <f t="shared" si="8"/>
        <v>2632558301.4808607</v>
      </c>
      <c r="AE53" s="710">
        <f t="shared" si="8"/>
        <v>3630117632.0372114</v>
      </c>
      <c r="AF53" s="710">
        <f t="shared" si="8"/>
        <v>3945069557.301434</v>
      </c>
      <c r="AG53" s="710">
        <f t="shared" si="8"/>
        <v>4103641995.6598873</v>
      </c>
      <c r="AH53" s="710">
        <f t="shared" si="8"/>
        <v>4337279289.5221186</v>
      </c>
      <c r="AI53" s="710">
        <f t="shared" si="8"/>
        <v>4313916640.9394617</v>
      </c>
      <c r="AJ53" s="710">
        <f t="shared" si="8"/>
        <v>4736320017.715827</v>
      </c>
      <c r="AK53" s="710">
        <f t="shared" si="8"/>
        <v>5125489401.0098543</v>
      </c>
      <c r="AL53" s="710">
        <f t="shared" si="8"/>
        <v>5547509094.5095987</v>
      </c>
      <c r="AM53" s="711">
        <v>17146920909.475193</v>
      </c>
      <c r="AN53" s="710">
        <f t="shared" si="8"/>
        <v>14671462516.730606</v>
      </c>
      <c r="AO53" s="710">
        <f t="shared" si="8"/>
        <v>15630033310.782555</v>
      </c>
      <c r="AP53" s="710">
        <f t="shared" si="8"/>
        <v>8606252089.6944141</v>
      </c>
      <c r="AQ53" s="710">
        <f t="shared" si="8"/>
        <v>10369390876.112316</v>
      </c>
      <c r="AR53" s="710">
        <f t="shared" si="8"/>
        <v>10355368407.064562</v>
      </c>
      <c r="AS53" s="710">
        <f t="shared" si="8"/>
        <v>11454410591.254908</v>
      </c>
      <c r="AT53" s="710">
        <f t="shared" si="8"/>
        <v>10585399301.561953</v>
      </c>
      <c r="AU53" s="710">
        <f t="shared" si="8"/>
        <v>12186617564.763676</v>
      </c>
      <c r="AV53" s="710">
        <f t="shared" si="8"/>
        <v>12705845284.615593</v>
      </c>
      <c r="AW53" s="710">
        <f t="shared" si="7"/>
        <v>11596511940.81473</v>
      </c>
      <c r="AX53" s="710">
        <f t="shared" si="7"/>
        <v>14029022596.159277</v>
      </c>
      <c r="AY53" s="711">
        <v>15155619617.321249</v>
      </c>
      <c r="AZ53" s="710">
        <f t="shared" si="7"/>
        <v>13062248200.765656</v>
      </c>
      <c r="BA53" s="710">
        <f t="shared" si="7"/>
        <v>14867583832.005949</v>
      </c>
      <c r="BB53" s="710">
        <v>12640921585.279272</v>
      </c>
      <c r="BC53" s="710">
        <f t="shared" si="7"/>
        <v>12483913992.971392</v>
      </c>
      <c r="BD53" s="710">
        <f t="shared" si="7"/>
        <v>12886183786.001778</v>
      </c>
      <c r="BE53" s="710">
        <f t="shared" si="7"/>
        <v>12953341342.54788</v>
      </c>
      <c r="BF53" s="711">
        <v>11690750163.902382</v>
      </c>
      <c r="BG53" s="710">
        <f t="shared" si="7"/>
        <v>11191482623.488098</v>
      </c>
      <c r="BH53" s="711">
        <v>11673746541.486858</v>
      </c>
      <c r="BI53" s="710">
        <f t="shared" si="7"/>
        <v>10503817958.170732</v>
      </c>
      <c r="BJ53" s="710">
        <f t="shared" si="7"/>
        <v>9250437044.2804298</v>
      </c>
    </row>
    <row r="54" spans="1:62" ht="15" thickBot="1">
      <c r="A54" s="1232"/>
      <c r="B54" s="712" t="str">
        <f t="shared" si="4"/>
        <v>YOLA</v>
      </c>
      <c r="C54" s="713">
        <f t="shared" si="8"/>
        <v>1822479092.5980301</v>
      </c>
      <c r="D54" s="713">
        <f t="shared" si="8"/>
        <v>1491485380.3732669</v>
      </c>
      <c r="E54" s="713">
        <f t="shared" si="8"/>
        <v>1640342955.622385</v>
      </c>
      <c r="F54" s="713">
        <f t="shared" si="8"/>
        <v>1699004718.3644803</v>
      </c>
      <c r="G54" s="713">
        <f t="shared" si="8"/>
        <v>1675601689.0653589</v>
      </c>
      <c r="H54" s="713">
        <f t="shared" si="8"/>
        <v>1504028813.6897922</v>
      </c>
      <c r="I54" s="713">
        <f t="shared" si="8"/>
        <v>1586630648.217737</v>
      </c>
      <c r="J54" s="713">
        <f t="shared" si="8"/>
        <v>1537691715.3856304</v>
      </c>
      <c r="K54" s="713">
        <f t="shared" si="8"/>
        <v>1420729417.5503271</v>
      </c>
      <c r="L54" s="713">
        <f t="shared" si="8"/>
        <v>1536469891.2221568</v>
      </c>
      <c r="M54" s="713">
        <f t="shared" si="8"/>
        <v>1524454566.108969</v>
      </c>
      <c r="N54" s="713">
        <f t="shared" si="8"/>
        <v>1572654811.3135293</v>
      </c>
      <c r="O54" s="713">
        <f t="shared" si="8"/>
        <v>2029393845.8357341</v>
      </c>
      <c r="P54" s="713">
        <f t="shared" si="8"/>
        <v>1951765237.3959041</v>
      </c>
      <c r="Q54" s="713">
        <f t="shared" si="8"/>
        <v>2044068279.6510859</v>
      </c>
      <c r="R54" s="713">
        <f t="shared" si="8"/>
        <v>2005281920.7243142</v>
      </c>
      <c r="S54" s="713">
        <f t="shared" si="8"/>
        <v>1848514594.0858488</v>
      </c>
      <c r="T54" s="713">
        <f t="shared" si="8"/>
        <v>1735530489.0579867</v>
      </c>
      <c r="U54" s="713">
        <f t="shared" si="8"/>
        <v>1729296833.4330406</v>
      </c>
      <c r="V54" s="713">
        <f t="shared" si="8"/>
        <v>1705973343.7362311</v>
      </c>
      <c r="W54" s="713">
        <f t="shared" si="8"/>
        <v>1762137304.5935726</v>
      </c>
      <c r="X54" s="713">
        <f t="shared" si="8"/>
        <v>1877042845.5087631</v>
      </c>
      <c r="Y54" s="713">
        <f t="shared" si="8"/>
        <v>1996111344.8597436</v>
      </c>
      <c r="Z54" s="713">
        <f t="shared" si="8"/>
        <v>2122815343.7718639</v>
      </c>
      <c r="AA54" s="713">
        <f t="shared" si="8"/>
        <v>2266049103.0562501</v>
      </c>
      <c r="AB54" s="713">
        <f t="shared" si="8"/>
        <v>2178637218.0537729</v>
      </c>
      <c r="AC54" s="713">
        <f t="shared" si="8"/>
        <v>2916818246.1068063</v>
      </c>
      <c r="AD54" s="714">
        <f t="shared" si="8"/>
        <v>2348099030.0018382</v>
      </c>
      <c r="AE54" s="714">
        <f t="shared" si="8"/>
        <v>2968723358.0933599</v>
      </c>
      <c r="AF54" s="714">
        <f t="shared" si="8"/>
        <v>2892794587.9967632</v>
      </c>
      <c r="AG54" s="714">
        <f t="shared" ref="AG54:AV54" si="9">AG24*(1-AG39)</f>
        <v>3714726228.2983689</v>
      </c>
      <c r="AH54" s="714">
        <f t="shared" si="9"/>
        <v>3513668801.4456773</v>
      </c>
      <c r="AI54" s="714">
        <f t="shared" si="9"/>
        <v>3772457220.1668448</v>
      </c>
      <c r="AJ54" s="714">
        <f t="shared" si="9"/>
        <v>4709207788.2424526</v>
      </c>
      <c r="AK54" s="714">
        <f t="shared" si="9"/>
        <v>5075676404.8065405</v>
      </c>
      <c r="AL54" s="714">
        <f t="shared" si="9"/>
        <v>4233301297.1421556</v>
      </c>
      <c r="AM54" s="715">
        <v>7286804639.9607468</v>
      </c>
      <c r="AN54" s="714">
        <f t="shared" si="9"/>
        <v>6465793075.5709057</v>
      </c>
      <c r="AO54" s="714">
        <f t="shared" si="9"/>
        <v>6785901066.00525</v>
      </c>
      <c r="AP54" s="714">
        <f t="shared" si="9"/>
        <v>3869775362.3338256</v>
      </c>
      <c r="AQ54" s="714">
        <f t="shared" si="9"/>
        <v>2493315918.8530908</v>
      </c>
      <c r="AR54" s="714">
        <f t="shared" si="9"/>
        <v>5988091673.9918947</v>
      </c>
      <c r="AS54" s="714">
        <f t="shared" si="9"/>
        <v>6402628819.0759153</v>
      </c>
      <c r="AT54" s="714">
        <f t="shared" si="9"/>
        <v>5735755331.8214464</v>
      </c>
      <c r="AU54" s="714">
        <f t="shared" si="9"/>
        <v>6818024151.011075</v>
      </c>
      <c r="AV54" s="714">
        <f t="shared" si="9"/>
        <v>4647402409.0798492</v>
      </c>
      <c r="AW54" s="714">
        <f t="shared" si="7"/>
        <v>4714769664.9715538</v>
      </c>
      <c r="AX54" s="714">
        <f t="shared" si="7"/>
        <v>6086408402.5925579</v>
      </c>
      <c r="AY54" s="715">
        <v>5661513836.3362608</v>
      </c>
      <c r="AZ54" s="714">
        <f t="shared" si="7"/>
        <v>5526910849.0927544</v>
      </c>
      <c r="BA54" s="714">
        <f t="shared" si="7"/>
        <v>8009475355.1644754</v>
      </c>
      <c r="BB54" s="714">
        <v>7227779742.8647242</v>
      </c>
      <c r="BC54" s="714">
        <f t="shared" si="7"/>
        <v>7958085248.4952307</v>
      </c>
      <c r="BD54" s="714">
        <f t="shared" si="7"/>
        <v>6359479519.4494009</v>
      </c>
      <c r="BE54" s="714">
        <f t="shared" si="7"/>
        <v>5658284197.1455164</v>
      </c>
      <c r="BF54" s="715">
        <v>5644591468.701973</v>
      </c>
      <c r="BG54" s="714">
        <f t="shared" si="7"/>
        <v>5388975647.0528936</v>
      </c>
      <c r="BH54" s="715">
        <v>5742410420.8979521</v>
      </c>
      <c r="BI54" s="714">
        <f t="shared" si="7"/>
        <v>5409121550.4725142</v>
      </c>
      <c r="BJ54" s="714">
        <f t="shared" si="7"/>
        <v>4808601023.391901</v>
      </c>
    </row>
    <row r="55" spans="1:62" ht="15" thickBot="1">
      <c r="A55" s="1233"/>
      <c r="B55" s="716" t="str">
        <f>B25</f>
        <v>TOTAL</v>
      </c>
      <c r="C55" s="717">
        <f t="shared" ref="C55:AW55" si="10">SUM(C44:C54)</f>
        <v>22160938633.099018</v>
      </c>
      <c r="D55" s="717">
        <f t="shared" si="10"/>
        <v>20236757759.745327</v>
      </c>
      <c r="E55" s="717">
        <f t="shared" si="10"/>
        <v>21179078127.848396</v>
      </c>
      <c r="F55" s="717">
        <f t="shared" si="10"/>
        <v>21318446690.629333</v>
      </c>
      <c r="G55" s="717">
        <f t="shared" si="10"/>
        <v>22123192143.207264</v>
      </c>
      <c r="H55" s="717">
        <f t="shared" si="10"/>
        <v>20322342052.066761</v>
      </c>
      <c r="I55" s="717">
        <f t="shared" si="10"/>
        <v>21152146221.197102</v>
      </c>
      <c r="J55" s="717">
        <f t="shared" si="10"/>
        <v>20519280161.724068</v>
      </c>
      <c r="K55" s="717">
        <f t="shared" si="10"/>
        <v>19188067937.159695</v>
      </c>
      <c r="L55" s="717">
        <f t="shared" si="10"/>
        <v>20824346947.358921</v>
      </c>
      <c r="M55" s="717">
        <f t="shared" si="10"/>
        <v>20490601156.369125</v>
      </c>
      <c r="N55" s="717">
        <f t="shared" si="10"/>
        <v>21556386468.855946</v>
      </c>
      <c r="O55" s="717">
        <f t="shared" si="10"/>
        <v>13485439513.876261</v>
      </c>
      <c r="P55" s="717">
        <f t="shared" si="10"/>
        <v>12447871916.270315</v>
      </c>
      <c r="Q55" s="717">
        <f t="shared" si="10"/>
        <v>12261286363.249081</v>
      </c>
      <c r="R55" s="717">
        <f t="shared" si="10"/>
        <v>12108228016.443624</v>
      </c>
      <c r="S55" s="717">
        <f t="shared" si="10"/>
        <v>11904499882.738766</v>
      </c>
      <c r="T55" s="717">
        <f t="shared" si="10"/>
        <v>10902510487.360935</v>
      </c>
      <c r="U55" s="717">
        <f t="shared" si="10"/>
        <v>12080426938.576006</v>
      </c>
      <c r="V55" s="717">
        <f t="shared" si="10"/>
        <v>12480028798.701017</v>
      </c>
      <c r="W55" s="717">
        <f t="shared" si="10"/>
        <v>12553022132.273832</v>
      </c>
      <c r="X55" s="717">
        <f t="shared" si="10"/>
        <v>12775424323.313648</v>
      </c>
      <c r="Y55" s="717">
        <f t="shared" si="10"/>
        <v>13589011317.288729</v>
      </c>
      <c r="Z55" s="717">
        <f t="shared" si="10"/>
        <v>14471098545.298088</v>
      </c>
      <c r="AA55" s="717">
        <f t="shared" si="10"/>
        <v>35343900159.97998</v>
      </c>
      <c r="AB55" s="717">
        <f t="shared" si="10"/>
        <v>34684533395.087555</v>
      </c>
      <c r="AC55" s="717">
        <f t="shared" si="10"/>
        <v>38634525803.151146</v>
      </c>
      <c r="AD55" s="717">
        <f t="shared" si="10"/>
        <v>34684644901.602455</v>
      </c>
      <c r="AE55" s="717">
        <f t="shared" si="10"/>
        <v>46071837819.399956</v>
      </c>
      <c r="AF55" s="717">
        <f t="shared" si="10"/>
        <v>51873814599.432304</v>
      </c>
      <c r="AG55" s="717">
        <f t="shared" si="10"/>
        <v>55489743638.550438</v>
      </c>
      <c r="AH55" s="717">
        <f t="shared" si="10"/>
        <v>56132356084.021446</v>
      </c>
      <c r="AI55" s="717">
        <f t="shared" si="10"/>
        <v>59034391541.815285</v>
      </c>
      <c r="AJ55" s="717">
        <f t="shared" si="10"/>
        <v>69018140213.733307</v>
      </c>
      <c r="AK55" s="717">
        <f t="shared" si="10"/>
        <v>74574946729.021561</v>
      </c>
      <c r="AL55" s="717">
        <f t="shared" si="10"/>
        <v>75900904777.11351</v>
      </c>
      <c r="AM55" s="718">
        <f t="shared" si="10"/>
        <v>231749996579.89188</v>
      </c>
      <c r="AN55" s="717">
        <f t="shared" si="10"/>
        <v>188576672756.04507</v>
      </c>
      <c r="AO55" s="717">
        <f t="shared" si="10"/>
        <v>212836355219.88617</v>
      </c>
      <c r="AP55" s="717">
        <f t="shared" si="10"/>
        <v>107509106503.39014</v>
      </c>
      <c r="AQ55" s="717">
        <f t="shared" si="10"/>
        <v>134071697534.50592</v>
      </c>
      <c r="AR55" s="717">
        <f t="shared" si="10"/>
        <v>132100736781.83081</v>
      </c>
      <c r="AS55" s="717">
        <f t="shared" si="10"/>
        <v>149236554714.2569</v>
      </c>
      <c r="AT55" s="717">
        <f t="shared" si="10"/>
        <v>141681000607.66986</v>
      </c>
      <c r="AU55" s="717">
        <f t="shared" si="10"/>
        <v>171766025478.77393</v>
      </c>
      <c r="AV55" s="717">
        <f t="shared" si="10"/>
        <v>159394388911.42358</v>
      </c>
      <c r="AW55" s="717">
        <f t="shared" si="10"/>
        <v>149253443519.4808</v>
      </c>
      <c r="AX55" s="717">
        <f t="shared" ref="AX55:BJ55" si="11">SUM(AX44:AX54)</f>
        <v>163050229538.99512</v>
      </c>
      <c r="AY55" s="718">
        <f t="shared" si="11"/>
        <v>179354184595.24469</v>
      </c>
      <c r="AZ55" s="717">
        <f t="shared" si="11"/>
        <v>162054842164.11835</v>
      </c>
      <c r="BA55" s="717">
        <f t="shared" si="11"/>
        <v>194956957465.44299</v>
      </c>
      <c r="BB55" s="717">
        <f t="shared" si="11"/>
        <v>175346339766.2583</v>
      </c>
      <c r="BC55" s="717">
        <f t="shared" si="11"/>
        <v>177020262550.09717</v>
      </c>
      <c r="BD55" s="717">
        <f t="shared" si="11"/>
        <v>162124659821.3735</v>
      </c>
      <c r="BE55" s="717">
        <f t="shared" si="11"/>
        <v>163707730046.16388</v>
      </c>
      <c r="BF55" s="718">
        <f t="shared" si="11"/>
        <v>153321320813.18069</v>
      </c>
      <c r="BG55" s="717">
        <f t="shared" si="11"/>
        <v>141727481882.02722</v>
      </c>
      <c r="BH55" s="718">
        <f t="shared" si="11"/>
        <v>153243940668.38745</v>
      </c>
      <c r="BI55" s="717">
        <f t="shared" si="11"/>
        <v>143116121501.22598</v>
      </c>
      <c r="BJ55" s="717">
        <f t="shared" si="11"/>
        <v>123322943711.18463</v>
      </c>
    </row>
    <row r="56" spans="1:62" s="719" customFormat="1">
      <c r="C56" s="719">
        <v>0</v>
      </c>
      <c r="D56" s="719">
        <v>0</v>
      </c>
      <c r="E56" s="719">
        <v>0</v>
      </c>
      <c r="F56" s="719">
        <v>0</v>
      </c>
      <c r="G56" s="719">
        <v>0</v>
      </c>
      <c r="H56" s="719">
        <v>0</v>
      </c>
      <c r="I56" s="719">
        <v>0</v>
      </c>
      <c r="J56" s="719">
        <v>0</v>
      </c>
      <c r="K56" s="719">
        <v>0</v>
      </c>
      <c r="L56" s="719">
        <v>0</v>
      </c>
      <c r="M56" s="719">
        <v>0</v>
      </c>
      <c r="N56" s="719">
        <v>0</v>
      </c>
      <c r="O56" s="719">
        <v>0</v>
      </c>
      <c r="P56" s="719">
        <v>0</v>
      </c>
      <c r="Q56" s="719">
        <v>0</v>
      </c>
      <c r="R56" s="719">
        <v>0</v>
      </c>
      <c r="S56" s="719">
        <v>0</v>
      </c>
      <c r="T56" s="719">
        <v>0</v>
      </c>
      <c r="U56" s="719">
        <v>0</v>
      </c>
      <c r="V56" s="719">
        <v>0</v>
      </c>
      <c r="W56" s="719">
        <v>0</v>
      </c>
      <c r="X56" s="719">
        <v>0</v>
      </c>
      <c r="Y56" s="719">
        <v>0</v>
      </c>
      <c r="Z56" s="719">
        <v>0</v>
      </c>
      <c r="AA56" s="719">
        <v>0</v>
      </c>
      <c r="AB56" s="719">
        <v>0</v>
      </c>
      <c r="AC56" s="719">
        <v>0</v>
      </c>
      <c r="AD56" s="719">
        <v>0</v>
      </c>
      <c r="AE56" s="719">
        <f>AE55</f>
        <v>46071837819.399956</v>
      </c>
      <c r="AF56" s="719">
        <v>0</v>
      </c>
      <c r="AG56" s="719">
        <v>0</v>
      </c>
      <c r="AH56" s="719">
        <v>0</v>
      </c>
      <c r="AI56" s="719">
        <v>0</v>
      </c>
      <c r="AJ56" s="719">
        <v>0</v>
      </c>
      <c r="AK56" s="719">
        <v>0</v>
      </c>
      <c r="AL56" s="719">
        <v>0</v>
      </c>
      <c r="AM56" s="732">
        <v>0</v>
      </c>
      <c r="AN56" s="719">
        <v>0</v>
      </c>
      <c r="AO56" s="719">
        <v>0</v>
      </c>
      <c r="AP56" s="719">
        <v>0</v>
      </c>
      <c r="AQ56" s="719">
        <v>0</v>
      </c>
      <c r="AR56" s="719">
        <v>0</v>
      </c>
      <c r="AS56" s="719">
        <v>0</v>
      </c>
      <c r="AT56" s="719">
        <v>0</v>
      </c>
      <c r="AU56" s="719">
        <v>0</v>
      </c>
      <c r="AV56" s="719">
        <v>0</v>
      </c>
      <c r="AW56" s="719">
        <v>0</v>
      </c>
      <c r="AX56" s="719">
        <v>0</v>
      </c>
      <c r="AY56" s="732">
        <v>0</v>
      </c>
      <c r="AZ56" s="719">
        <v>0</v>
      </c>
      <c r="BA56" s="719">
        <v>0</v>
      </c>
      <c r="BB56" s="719">
        <v>0</v>
      </c>
      <c r="BC56" s="719">
        <v>0</v>
      </c>
      <c r="BD56" s="719">
        <v>0</v>
      </c>
      <c r="BE56" s="719">
        <v>0</v>
      </c>
      <c r="BF56" s="732">
        <v>0</v>
      </c>
      <c r="BG56" s="719">
        <v>0</v>
      </c>
      <c r="BH56" s="732">
        <v>0</v>
      </c>
      <c r="BI56" s="719">
        <v>0</v>
      </c>
      <c r="BJ56" s="719">
        <v>0</v>
      </c>
    </row>
    <row r="57" spans="1:62" s="719" customFormat="1" ht="15" thickBot="1">
      <c r="AM57" s="732"/>
      <c r="AY57" s="732"/>
      <c r="BF57" s="732"/>
      <c r="BH57" s="732"/>
    </row>
    <row r="58" spans="1:62" s="738" customFormat="1" ht="15" thickBot="1">
      <c r="A58" s="1231" t="s">
        <v>637</v>
      </c>
      <c r="B58" s="733" t="s">
        <v>638</v>
      </c>
      <c r="C58" s="734">
        <f t="shared" ref="C58:BJ58" si="12">C28</f>
        <v>44197</v>
      </c>
      <c r="D58" s="735">
        <f t="shared" si="12"/>
        <v>44228</v>
      </c>
      <c r="E58" s="735">
        <f t="shared" si="12"/>
        <v>44256</v>
      </c>
      <c r="F58" s="735">
        <f t="shared" si="12"/>
        <v>44287</v>
      </c>
      <c r="G58" s="735">
        <f t="shared" si="12"/>
        <v>44317</v>
      </c>
      <c r="H58" s="735">
        <f t="shared" si="12"/>
        <v>44348</v>
      </c>
      <c r="I58" s="735">
        <f t="shared" si="12"/>
        <v>44378</v>
      </c>
      <c r="J58" s="735">
        <f t="shared" si="12"/>
        <v>44409</v>
      </c>
      <c r="K58" s="735">
        <f t="shared" si="12"/>
        <v>44440</v>
      </c>
      <c r="L58" s="735">
        <f t="shared" si="12"/>
        <v>44470</v>
      </c>
      <c r="M58" s="735">
        <f t="shared" si="12"/>
        <v>44501</v>
      </c>
      <c r="N58" s="735">
        <f t="shared" si="12"/>
        <v>44531</v>
      </c>
      <c r="O58" s="735">
        <f t="shared" si="12"/>
        <v>44562</v>
      </c>
      <c r="P58" s="735">
        <f t="shared" si="12"/>
        <v>44593</v>
      </c>
      <c r="Q58" s="735">
        <f t="shared" si="12"/>
        <v>44621</v>
      </c>
      <c r="R58" s="735">
        <f t="shared" si="12"/>
        <v>44652</v>
      </c>
      <c r="S58" s="735">
        <f t="shared" si="12"/>
        <v>44682</v>
      </c>
      <c r="T58" s="735">
        <f t="shared" si="12"/>
        <v>44713</v>
      </c>
      <c r="U58" s="735">
        <f t="shared" si="12"/>
        <v>44743</v>
      </c>
      <c r="V58" s="735">
        <f t="shared" si="12"/>
        <v>44774</v>
      </c>
      <c r="W58" s="735">
        <f t="shared" si="12"/>
        <v>44805</v>
      </c>
      <c r="X58" s="735">
        <f t="shared" si="12"/>
        <v>44835</v>
      </c>
      <c r="Y58" s="735">
        <f t="shared" si="12"/>
        <v>44866</v>
      </c>
      <c r="Z58" s="735">
        <f t="shared" si="12"/>
        <v>44896</v>
      </c>
      <c r="AA58" s="735">
        <f t="shared" si="12"/>
        <v>44927</v>
      </c>
      <c r="AB58" s="735">
        <f t="shared" si="12"/>
        <v>44958</v>
      </c>
      <c r="AC58" s="735">
        <f t="shared" si="12"/>
        <v>44986</v>
      </c>
      <c r="AD58" s="736">
        <f t="shared" si="12"/>
        <v>45017</v>
      </c>
      <c r="AE58" s="736">
        <f t="shared" si="12"/>
        <v>45047</v>
      </c>
      <c r="AF58" s="736">
        <f t="shared" si="12"/>
        <v>45078</v>
      </c>
      <c r="AG58" s="736">
        <f t="shared" si="12"/>
        <v>45108</v>
      </c>
      <c r="AH58" s="736">
        <f t="shared" si="12"/>
        <v>45139</v>
      </c>
      <c r="AI58" s="736">
        <f t="shared" si="12"/>
        <v>45170</v>
      </c>
      <c r="AJ58" s="736">
        <f t="shared" si="12"/>
        <v>45200</v>
      </c>
      <c r="AK58" s="736">
        <f t="shared" si="12"/>
        <v>45231</v>
      </c>
      <c r="AL58" s="736">
        <f t="shared" si="12"/>
        <v>45261</v>
      </c>
      <c r="AM58" s="737">
        <f t="shared" si="12"/>
        <v>45292</v>
      </c>
      <c r="AN58" s="736">
        <f t="shared" si="12"/>
        <v>45323</v>
      </c>
      <c r="AO58" s="736">
        <f t="shared" si="12"/>
        <v>45352</v>
      </c>
      <c r="AP58" s="736">
        <f t="shared" si="12"/>
        <v>45383</v>
      </c>
      <c r="AQ58" s="736">
        <f t="shared" si="12"/>
        <v>45413</v>
      </c>
      <c r="AR58" s="736">
        <f t="shared" si="12"/>
        <v>45444</v>
      </c>
      <c r="AS58" s="736">
        <f t="shared" si="12"/>
        <v>45474</v>
      </c>
      <c r="AT58" s="736">
        <f t="shared" si="12"/>
        <v>45505</v>
      </c>
      <c r="AU58" s="736">
        <f t="shared" si="12"/>
        <v>45536</v>
      </c>
      <c r="AV58" s="736">
        <f t="shared" si="12"/>
        <v>45566</v>
      </c>
      <c r="AW58" s="736">
        <f t="shared" si="12"/>
        <v>45597</v>
      </c>
      <c r="AX58" s="736">
        <f t="shared" si="12"/>
        <v>45627</v>
      </c>
      <c r="AY58" s="737">
        <f t="shared" si="12"/>
        <v>45658</v>
      </c>
      <c r="AZ58" s="736">
        <f t="shared" si="12"/>
        <v>45689</v>
      </c>
      <c r="BA58" s="736">
        <f t="shared" si="12"/>
        <v>45717</v>
      </c>
      <c r="BB58" s="736">
        <f t="shared" si="12"/>
        <v>45748</v>
      </c>
      <c r="BC58" s="736">
        <f t="shared" si="12"/>
        <v>45778</v>
      </c>
      <c r="BD58" s="736">
        <f t="shared" si="12"/>
        <v>45809</v>
      </c>
      <c r="BE58" s="736">
        <f t="shared" si="12"/>
        <v>45839</v>
      </c>
      <c r="BF58" s="737">
        <f t="shared" si="12"/>
        <v>45870</v>
      </c>
      <c r="BG58" s="736">
        <f t="shared" si="12"/>
        <v>45901</v>
      </c>
      <c r="BH58" s="737">
        <f t="shared" si="12"/>
        <v>45931</v>
      </c>
      <c r="BI58" s="736">
        <f t="shared" si="12"/>
        <v>45962</v>
      </c>
      <c r="BJ58" s="736">
        <f t="shared" si="12"/>
        <v>45992</v>
      </c>
    </row>
    <row r="59" spans="1:62" ht="15.75" customHeight="1">
      <c r="A59" s="1232"/>
      <c r="B59" s="739" t="s">
        <v>639</v>
      </c>
      <c r="C59" s="740">
        <v>1966742094.8</v>
      </c>
      <c r="D59" s="741">
        <v>2037287085.7499998</v>
      </c>
      <c r="E59" s="741">
        <v>1752480482.48</v>
      </c>
      <c r="F59" s="741">
        <v>1362228358.6800001</v>
      </c>
      <c r="G59" s="741">
        <v>858968738.80999994</v>
      </c>
      <c r="H59" s="741">
        <v>709983576.52999997</v>
      </c>
      <c r="I59" s="741">
        <v>352443912.54000002</v>
      </c>
      <c r="J59" s="741">
        <v>756861529.16999984</v>
      </c>
      <c r="K59" s="741">
        <v>2006475297.8299999</v>
      </c>
      <c r="L59" s="741">
        <v>2655564517.6599998</v>
      </c>
      <c r="M59" s="741">
        <v>2495204988.3200002</v>
      </c>
      <c r="N59" s="741">
        <v>3031363235.3699999</v>
      </c>
      <c r="O59" s="741">
        <v>3070268176.6900001</v>
      </c>
      <c r="P59" s="741">
        <v>2655836653.1499996</v>
      </c>
      <c r="Q59" s="741">
        <v>2446526073.9299998</v>
      </c>
      <c r="R59" s="741">
        <v>1826785418.2099998</v>
      </c>
      <c r="S59" s="741">
        <v>1020906849.05</v>
      </c>
      <c r="T59" s="741">
        <v>125642215.63</v>
      </c>
      <c r="U59" s="741">
        <v>1048249798.7399999</v>
      </c>
      <c r="V59" s="741">
        <v>1106359212.6500001</v>
      </c>
      <c r="W59" s="741">
        <v>2668380724.46</v>
      </c>
      <c r="X59" s="741">
        <v>3161648182.02</v>
      </c>
      <c r="Y59" s="741">
        <v>3497994466.1400003</v>
      </c>
      <c r="Z59" s="741">
        <v>4121900009.6000004</v>
      </c>
      <c r="AA59" s="741">
        <v>3698391022.25</v>
      </c>
      <c r="AB59" s="741">
        <v>3806611284.7817736</v>
      </c>
      <c r="AC59" s="741">
        <v>2759787068.1399999</v>
      </c>
      <c r="AD59" s="741">
        <v>2395103067.0799999</v>
      </c>
      <c r="AE59" s="741">
        <v>2400332220.9099998</v>
      </c>
      <c r="AF59" s="741">
        <v>2807730590.0499997</v>
      </c>
      <c r="AG59" s="741">
        <v>1696182097.3699999</v>
      </c>
      <c r="AH59" s="741">
        <v>4906231831.4899998</v>
      </c>
      <c r="AI59" s="741">
        <v>6637096078.5100002</v>
      </c>
      <c r="AJ59" s="741">
        <v>9169209348.3800011</v>
      </c>
      <c r="AK59" s="741">
        <v>9390111617.2600002</v>
      </c>
      <c r="AL59" s="741">
        <v>10609854818.3302</v>
      </c>
      <c r="AM59" s="742">
        <v>17715853325.869999</v>
      </c>
      <c r="AN59" s="741">
        <v>12926453065.98</v>
      </c>
      <c r="AO59" s="741">
        <v>9503417234.5599995</v>
      </c>
      <c r="AP59" s="741">
        <v>7466170178.9099998</v>
      </c>
      <c r="AQ59" s="741">
        <v>5023405615.2799997</v>
      </c>
      <c r="AR59" s="741">
        <v>4262216265.8499999</v>
      </c>
      <c r="AS59" s="741">
        <v>6806548143.4799995</v>
      </c>
      <c r="AT59" s="741">
        <v>8500576087.2199993</v>
      </c>
      <c r="AU59" s="741">
        <v>11173894933.439999</v>
      </c>
      <c r="AV59" s="741">
        <v>13614890831.869999</v>
      </c>
      <c r="AW59" s="741">
        <v>13102208445.799999</v>
      </c>
      <c r="AX59" s="741">
        <v>14808066765.320002</v>
      </c>
      <c r="AY59" s="742">
        <v>12870687849.949999</v>
      </c>
      <c r="AZ59" s="741">
        <v>12491587354.9</v>
      </c>
      <c r="BA59" s="741">
        <v>12913510553.030001</v>
      </c>
      <c r="BB59" s="741">
        <v>13440289759.099998</v>
      </c>
      <c r="BC59" s="741">
        <v>12997720993.77</v>
      </c>
      <c r="BD59" s="741">
        <v>10498101041.700001</v>
      </c>
      <c r="BE59" s="741">
        <v>6675069472.4299994</v>
      </c>
      <c r="BF59" s="742">
        <v>7589724986.6700001</v>
      </c>
      <c r="BG59" s="741">
        <v>10751603073.299999</v>
      </c>
      <c r="BH59" s="742">
        <v>14373276608.720001</v>
      </c>
      <c r="BI59" s="741">
        <v>14324223072.349998</v>
      </c>
      <c r="BJ59" s="743">
        <v>14158540668.51</v>
      </c>
    </row>
    <row r="60" spans="1:62">
      <c r="A60" s="1232"/>
      <c r="B60" s="744" t="s">
        <v>640</v>
      </c>
      <c r="C60" s="745">
        <v>3201810665.8499999</v>
      </c>
      <c r="D60" s="710">
        <v>3516394367.9299998</v>
      </c>
      <c r="E60" s="710">
        <v>3106643347.9499998</v>
      </c>
      <c r="F60" s="710">
        <v>3954183857.04</v>
      </c>
      <c r="G60" s="710">
        <v>3290583974.6599998</v>
      </c>
      <c r="H60" s="710">
        <v>2491843522.0100002</v>
      </c>
      <c r="I60" s="710">
        <v>2214609266.9900002</v>
      </c>
      <c r="J60" s="710">
        <v>3358282631.0999999</v>
      </c>
      <c r="K60" s="710">
        <v>4255928923.3899999</v>
      </c>
      <c r="L60" s="710">
        <v>4785995237.8699999</v>
      </c>
      <c r="M60" s="710">
        <v>4577558082.4499998</v>
      </c>
      <c r="N60" s="710">
        <v>4821053457.1599998</v>
      </c>
      <c r="O60" s="710">
        <v>4480096766.3400002</v>
      </c>
      <c r="P60" s="710">
        <v>3244474986.79</v>
      </c>
      <c r="Q60" s="710">
        <v>3504546830.4299998</v>
      </c>
      <c r="R60" s="710">
        <v>3054951588.4899998</v>
      </c>
      <c r="S60" s="710">
        <v>2819197279.1799998</v>
      </c>
      <c r="T60" s="710">
        <v>179326882.75</v>
      </c>
      <c r="U60" s="710">
        <v>1196344961.24</v>
      </c>
      <c r="V60" s="710">
        <v>3638697108.3599997</v>
      </c>
      <c r="W60" s="710">
        <v>4128919879.8500004</v>
      </c>
      <c r="X60" s="710">
        <v>3815542280.4400001</v>
      </c>
      <c r="Y60" s="710">
        <v>4329023951.6400003</v>
      </c>
      <c r="Z60" s="710">
        <v>4708421459.21</v>
      </c>
      <c r="AA60" s="710">
        <v>4417904667.1700001</v>
      </c>
      <c r="AB60" s="710">
        <v>4418560411.6172791</v>
      </c>
      <c r="AC60" s="710">
        <v>3567519583.3500004</v>
      </c>
      <c r="AD60" s="710">
        <v>3245356444.5100002</v>
      </c>
      <c r="AE60" s="710">
        <v>4610766189.6300001</v>
      </c>
      <c r="AF60" s="710">
        <v>5388144818.46</v>
      </c>
      <c r="AG60" s="710">
        <v>6448570394.1700001</v>
      </c>
      <c r="AH60" s="710">
        <v>7037484633.6999998</v>
      </c>
      <c r="AI60" s="710">
        <v>7225895425.7299995</v>
      </c>
      <c r="AJ60" s="710">
        <v>9912703532.6199989</v>
      </c>
      <c r="AK60" s="710">
        <v>8899851726.4300003</v>
      </c>
      <c r="AL60" s="710">
        <v>8126425488.0606003</v>
      </c>
      <c r="AM60" s="711">
        <v>12654743427.990002</v>
      </c>
      <c r="AN60" s="710">
        <v>9270351532.2099991</v>
      </c>
      <c r="AO60" s="710">
        <v>11415535074.340002</v>
      </c>
      <c r="AP60" s="710">
        <v>10244408565.5</v>
      </c>
      <c r="AQ60" s="710">
        <v>9636024478.5699997</v>
      </c>
      <c r="AR60" s="710">
        <v>8458293369.5799999</v>
      </c>
      <c r="AS60" s="710">
        <v>12007326394.93</v>
      </c>
      <c r="AT60" s="710">
        <v>15725816249.1</v>
      </c>
      <c r="AU60" s="710">
        <v>17157721393.68</v>
      </c>
      <c r="AV60" s="710">
        <v>16761273946.560001</v>
      </c>
      <c r="AW60" s="710">
        <v>14822960216.24</v>
      </c>
      <c r="AX60" s="710">
        <v>15167204775.129999</v>
      </c>
      <c r="AY60" s="711">
        <v>12256580153.27</v>
      </c>
      <c r="AZ60" s="710">
        <v>11649134757.049999</v>
      </c>
      <c r="BA60" s="710">
        <v>14637794068.960001</v>
      </c>
      <c r="BB60" s="710">
        <v>12621542138.639999</v>
      </c>
      <c r="BC60" s="710">
        <v>10950185451.35</v>
      </c>
      <c r="BD60" s="710">
        <v>12312143712.030001</v>
      </c>
      <c r="BE60" s="710">
        <v>11546014525.68</v>
      </c>
      <c r="BF60" s="711">
        <v>11825653860.1</v>
      </c>
      <c r="BG60" s="710">
        <v>12809026101.120001</v>
      </c>
      <c r="BH60" s="711">
        <v>11905985768.9</v>
      </c>
      <c r="BI60" s="710">
        <v>13645686259.039999</v>
      </c>
      <c r="BJ60" s="746">
        <v>15046032657.859999</v>
      </c>
    </row>
    <row r="61" spans="1:62">
      <c r="A61" s="1232"/>
      <c r="B61" s="744" t="s">
        <v>641</v>
      </c>
      <c r="C61" s="745">
        <v>4035128542.3000002</v>
      </c>
      <c r="D61" s="710">
        <v>2780160901.5799999</v>
      </c>
      <c r="E61" s="710">
        <v>2302173248.6700001</v>
      </c>
      <c r="F61" s="710">
        <v>2230822440.6500001</v>
      </c>
      <c r="G61" s="710">
        <v>1404958602.55</v>
      </c>
      <c r="H61" s="710">
        <v>1165702165.1299999</v>
      </c>
      <c r="I61" s="710">
        <v>2517520820.1199999</v>
      </c>
      <c r="J61" s="710">
        <v>3359682981.4900002</v>
      </c>
      <c r="K61" s="710">
        <v>4133295234.96</v>
      </c>
      <c r="L61" s="710">
        <v>4398026399</v>
      </c>
      <c r="M61" s="710">
        <v>3757790144.9200001</v>
      </c>
      <c r="N61" s="710">
        <v>3603342705.3800001</v>
      </c>
      <c r="O61" s="710">
        <v>3358489938.6384654</v>
      </c>
      <c r="P61" s="710">
        <v>3168620573.8029757</v>
      </c>
      <c r="Q61" s="710">
        <v>3284741986.9403453</v>
      </c>
      <c r="R61" s="710">
        <v>2727348600.709547</v>
      </c>
      <c r="S61" s="710">
        <v>1578006169.4077775</v>
      </c>
      <c r="T61" s="710">
        <v>1370368734.6712015</v>
      </c>
      <c r="U61" s="710">
        <v>4310967225.8993931</v>
      </c>
      <c r="V61" s="710">
        <v>6225727971.7266836</v>
      </c>
      <c r="W61" s="710">
        <v>6404783268.1478949</v>
      </c>
      <c r="X61" s="710">
        <v>7116778800.6582336</v>
      </c>
      <c r="Y61" s="710">
        <v>5779535215.5404005</v>
      </c>
      <c r="Z61" s="710">
        <v>3687803567.9914985</v>
      </c>
      <c r="AA61" s="710">
        <v>3722320074.6865897</v>
      </c>
      <c r="AB61" s="710">
        <v>3167022244.6297679</v>
      </c>
      <c r="AC61" s="710">
        <v>3174737445.6899996</v>
      </c>
      <c r="AD61" s="710">
        <v>3178931224.542223</v>
      </c>
      <c r="AE61" s="710">
        <v>3990045933.2619829</v>
      </c>
      <c r="AF61" s="710">
        <v>3435484360.0797086</v>
      </c>
      <c r="AG61" s="710">
        <v>6485654068.5839634</v>
      </c>
      <c r="AH61" s="710">
        <v>7942122349.4991531</v>
      </c>
      <c r="AI61" s="710">
        <v>6852868032.1995916</v>
      </c>
      <c r="AJ61" s="710">
        <v>9853400026.2900009</v>
      </c>
      <c r="AK61" s="710">
        <v>8602291498.9400005</v>
      </c>
      <c r="AL61" s="710">
        <v>8153990276.2654114</v>
      </c>
      <c r="AM61" s="711">
        <v>14381609334.816507</v>
      </c>
      <c r="AN61" s="710">
        <v>12214270929.43582</v>
      </c>
      <c r="AO61" s="710">
        <v>10535621329.255566</v>
      </c>
      <c r="AP61" s="710">
        <v>9184449245.3600006</v>
      </c>
      <c r="AQ61" s="710">
        <v>6364759540.1698666</v>
      </c>
      <c r="AR61" s="710">
        <v>8094145310.75665</v>
      </c>
      <c r="AS61" s="710">
        <v>12573523313.726122</v>
      </c>
      <c r="AT61" s="710">
        <v>13937162446.837175</v>
      </c>
      <c r="AU61" s="710">
        <v>13855950640.644238</v>
      </c>
      <c r="AV61" s="710">
        <v>12284634178.505226</v>
      </c>
      <c r="AW61" s="710">
        <v>10576555924.53899</v>
      </c>
      <c r="AX61" s="710">
        <v>12762107097.352573</v>
      </c>
      <c r="AY61" s="711">
        <v>12095852313.48304</v>
      </c>
      <c r="AZ61" s="710">
        <v>12844717863.018942</v>
      </c>
      <c r="BA61" s="710">
        <v>13521107136.309999</v>
      </c>
      <c r="BB61" s="710">
        <v>11462874140.17</v>
      </c>
      <c r="BC61" s="710">
        <v>11067953912.550001</v>
      </c>
      <c r="BD61" s="710">
        <v>10717085056.369999</v>
      </c>
      <c r="BE61" s="710">
        <v>9938976139.9099998</v>
      </c>
      <c r="BF61" s="711">
        <v>10880736346.32</v>
      </c>
      <c r="BG61" s="710">
        <v>11248869541.299999</v>
      </c>
      <c r="BH61" s="711">
        <v>12291221673.5</v>
      </c>
      <c r="BI61" s="710">
        <v>10966355534.709999</v>
      </c>
      <c r="BJ61" s="746">
        <v>10593073754.01</v>
      </c>
    </row>
    <row r="62" spans="1:62">
      <c r="A62" s="1232"/>
      <c r="B62" s="744" t="s">
        <v>642</v>
      </c>
      <c r="C62" s="745">
        <v>15085806276.110001</v>
      </c>
      <c r="D62" s="710">
        <v>14531942899.9</v>
      </c>
      <c r="E62" s="710">
        <v>15045056237.830002</v>
      </c>
      <c r="F62" s="710">
        <v>15845137678.989998</v>
      </c>
      <c r="G62" s="710">
        <v>15000141962.24</v>
      </c>
      <c r="H62" s="710">
        <v>14617706996.93</v>
      </c>
      <c r="I62" s="710">
        <v>13104142371.959999</v>
      </c>
      <c r="J62" s="710">
        <v>10865234155.950001</v>
      </c>
      <c r="K62" s="710">
        <v>9790252566.3400002</v>
      </c>
      <c r="L62" s="710">
        <v>8317379175.9799995</v>
      </c>
      <c r="M62" s="710">
        <v>9992698922.5799999</v>
      </c>
      <c r="N62" s="710">
        <v>11623721397.43</v>
      </c>
      <c r="O62" s="710">
        <v>10580074937.99</v>
      </c>
      <c r="P62" s="710">
        <v>10275875514.59</v>
      </c>
      <c r="Q62" s="710">
        <v>6577627205.5685539</v>
      </c>
      <c r="R62" s="710">
        <v>5981058357.3002501</v>
      </c>
      <c r="S62" s="710">
        <v>9177975802.3299999</v>
      </c>
      <c r="T62" s="710">
        <v>5979267849.3799992</v>
      </c>
      <c r="U62" s="710">
        <v>9890333247.5035038</v>
      </c>
      <c r="V62" s="710">
        <v>8638133628.5</v>
      </c>
      <c r="W62" s="710">
        <v>9681465672.6300011</v>
      </c>
      <c r="X62" s="710">
        <v>6466215127.7400007</v>
      </c>
      <c r="Y62" s="710">
        <v>9253917393.4899998</v>
      </c>
      <c r="Z62" s="710">
        <v>13911829735.27</v>
      </c>
      <c r="AA62" s="710">
        <v>14485059213.944595</v>
      </c>
      <c r="AB62" s="710">
        <v>14805425765.053518</v>
      </c>
      <c r="AC62" s="710">
        <v>17260641590.91</v>
      </c>
      <c r="AD62" s="710">
        <v>13194129932.283754</v>
      </c>
      <c r="AE62" s="710">
        <v>20781427700.442539</v>
      </c>
      <c r="AF62" s="710">
        <v>23813654225.2341</v>
      </c>
      <c r="AG62" s="710">
        <v>24754095249.66581</v>
      </c>
      <c r="AH62" s="710">
        <v>22328870909.081135</v>
      </c>
      <c r="AI62" s="710">
        <v>15653294916.464046</v>
      </c>
      <c r="AJ62" s="710">
        <v>18508114386.470001</v>
      </c>
      <c r="AK62" s="710">
        <v>24791892994.16</v>
      </c>
      <c r="AL62" s="710">
        <v>19746122109.2924</v>
      </c>
      <c r="AM62" s="711">
        <v>33041273062.450001</v>
      </c>
      <c r="AN62" s="710">
        <v>22742837481.459999</v>
      </c>
      <c r="AO62" s="710">
        <v>30739650382.869999</v>
      </c>
      <c r="AP62" s="710">
        <v>36635981005.740005</v>
      </c>
      <c r="AQ62" s="710">
        <v>50080346271.559998</v>
      </c>
      <c r="AR62" s="710">
        <v>52757882226.369995</v>
      </c>
      <c r="AS62" s="710">
        <v>38108675805.970001</v>
      </c>
      <c r="AT62" s="710">
        <v>36336136943.690002</v>
      </c>
      <c r="AU62" s="710">
        <v>40368076505.050003</v>
      </c>
      <c r="AV62" s="710">
        <v>38077213740.620003</v>
      </c>
      <c r="AW62" s="710">
        <v>39229811558.119995</v>
      </c>
      <c r="AX62" s="710">
        <v>47571165495.669998</v>
      </c>
      <c r="AY62" s="711">
        <v>43409632023.814423</v>
      </c>
      <c r="AZ62" s="710">
        <v>41228536989.059998</v>
      </c>
      <c r="BA62" s="710">
        <v>51516652216.389999</v>
      </c>
      <c r="BB62" s="710">
        <v>49528066451.190002</v>
      </c>
      <c r="BC62" s="710">
        <v>58661640345.220001</v>
      </c>
      <c r="BD62" s="710">
        <v>47592985105.279999</v>
      </c>
      <c r="BE62" s="710">
        <v>52271433452.669998</v>
      </c>
      <c r="BF62" s="711">
        <v>51936111490.259995</v>
      </c>
      <c r="BG62" s="710">
        <v>41856258042.449997</v>
      </c>
      <c r="BH62" s="711">
        <v>46153476527.18</v>
      </c>
      <c r="BI62" s="710">
        <v>46536813136.459999</v>
      </c>
      <c r="BJ62" s="746">
        <v>41552834295.769096</v>
      </c>
    </row>
    <row r="63" spans="1:62">
      <c r="A63" s="1232"/>
      <c r="B63" s="744" t="s">
        <v>643</v>
      </c>
      <c r="C63" s="745">
        <v>5386548332.9799995</v>
      </c>
      <c r="D63" s="710">
        <v>3932488575.8000002</v>
      </c>
      <c r="E63" s="710">
        <v>4921562608.7999992</v>
      </c>
      <c r="F63" s="710">
        <v>5156997472.96</v>
      </c>
      <c r="G63" s="710">
        <v>5634655727.0200005</v>
      </c>
      <c r="H63" s="710">
        <v>6549539538.25</v>
      </c>
      <c r="I63" s="710">
        <v>7136472615.2700005</v>
      </c>
      <c r="J63" s="710">
        <v>6156727863.2800007</v>
      </c>
      <c r="K63" s="710">
        <v>5566868060.8099995</v>
      </c>
      <c r="L63" s="710">
        <v>5070149655.6099997</v>
      </c>
      <c r="M63" s="710">
        <v>5416599999.6700001</v>
      </c>
      <c r="N63" s="710">
        <v>3983290584.04</v>
      </c>
      <c r="O63" s="710">
        <v>6945670002.5572424</v>
      </c>
      <c r="P63" s="710">
        <v>6395042971.7039623</v>
      </c>
      <c r="Q63" s="710">
        <v>6074216455.8846188</v>
      </c>
      <c r="R63" s="710">
        <v>5167101808.1605949</v>
      </c>
      <c r="S63" s="710">
        <v>5764627911.7171183</v>
      </c>
      <c r="T63" s="710">
        <v>6910138479.282815</v>
      </c>
      <c r="U63" s="710">
        <v>8538911533.2559938</v>
      </c>
      <c r="V63" s="710">
        <v>6261445682.3626261</v>
      </c>
      <c r="W63" s="710">
        <v>5092994448.9609499</v>
      </c>
      <c r="X63" s="710">
        <v>5943076641.9785061</v>
      </c>
      <c r="Y63" s="710">
        <v>7277645453.7225666</v>
      </c>
      <c r="Z63" s="710">
        <v>5606848215.5042477</v>
      </c>
      <c r="AA63" s="710">
        <v>4507093159.6536798</v>
      </c>
      <c r="AB63" s="710">
        <v>4447565467.1271105</v>
      </c>
      <c r="AC63" s="710">
        <v>7412718545.5199995</v>
      </c>
      <c r="AD63" s="710">
        <v>8896108834.9791679</v>
      </c>
      <c r="AE63" s="710">
        <v>11947923775.665562</v>
      </c>
      <c r="AF63" s="710">
        <v>8664674208.0102081</v>
      </c>
      <c r="AG63" s="710">
        <v>10555337354.932674</v>
      </c>
      <c r="AH63" s="710">
        <v>10014421629.392303</v>
      </c>
      <c r="AI63" s="710">
        <v>9652390436.0986462</v>
      </c>
      <c r="AJ63" s="710">
        <v>11131505949.16</v>
      </c>
      <c r="AK63" s="710">
        <v>13938653834.75</v>
      </c>
      <c r="AL63" s="710">
        <v>13307405918.896885</v>
      </c>
      <c r="AM63" s="711">
        <v>18403222437.797394</v>
      </c>
      <c r="AN63" s="710">
        <v>13516746220.998087</v>
      </c>
      <c r="AO63" s="710">
        <v>19909931783.628986</v>
      </c>
      <c r="AP63" s="710">
        <v>19256827644.27</v>
      </c>
      <c r="AQ63" s="710">
        <v>20372472825.8564</v>
      </c>
      <c r="AR63" s="710">
        <v>15697286353.099579</v>
      </c>
      <c r="AS63" s="710">
        <v>26656444907.931023</v>
      </c>
      <c r="AT63" s="710">
        <v>26874320382.665539</v>
      </c>
      <c r="AU63" s="710">
        <v>24605763151.121891</v>
      </c>
      <c r="AV63" s="710">
        <v>23386300965.856262</v>
      </c>
      <c r="AW63" s="710">
        <v>13999429427.234152</v>
      </c>
      <c r="AX63" s="710">
        <v>18110906722.268764</v>
      </c>
      <c r="AY63" s="711">
        <v>26318227185.128963</v>
      </c>
      <c r="AZ63" s="710">
        <v>25447301205.365082</v>
      </c>
      <c r="BA63" s="710">
        <v>32277060274.557178</v>
      </c>
      <c r="BB63" s="710">
        <v>22964962633.689999</v>
      </c>
      <c r="BC63" s="710">
        <v>21676286044.110001</v>
      </c>
      <c r="BD63" s="710">
        <v>20937131045.689999</v>
      </c>
      <c r="BE63" s="710">
        <v>26195081733.990002</v>
      </c>
      <c r="BF63" s="711">
        <v>25485676163.769997</v>
      </c>
      <c r="BG63" s="710">
        <v>23116537933.809998</v>
      </c>
      <c r="BH63" s="711">
        <v>24201536483.5</v>
      </c>
      <c r="BI63" s="710">
        <v>26926967570.43</v>
      </c>
      <c r="BJ63" s="746">
        <v>3840793822.1800003</v>
      </c>
    </row>
    <row r="64" spans="1:62">
      <c r="A64" s="1232"/>
      <c r="B64" s="744" t="s">
        <v>644</v>
      </c>
      <c r="C64" s="745">
        <v>743600077.29999995</v>
      </c>
      <c r="D64" s="710">
        <v>594298914.95000005</v>
      </c>
      <c r="E64" s="710">
        <v>815209047.64999998</v>
      </c>
      <c r="F64" s="710">
        <v>795424929.25</v>
      </c>
      <c r="G64" s="710">
        <v>776611599.53999996</v>
      </c>
      <c r="H64" s="710">
        <v>902493684.63999999</v>
      </c>
      <c r="I64" s="710">
        <v>913651033.75999999</v>
      </c>
      <c r="J64" s="710">
        <v>547537000.10000002</v>
      </c>
      <c r="K64" s="710">
        <v>741928608.41999996</v>
      </c>
      <c r="L64" s="710">
        <v>847787379.01999998</v>
      </c>
      <c r="M64" s="710">
        <v>591670011.03999996</v>
      </c>
      <c r="N64" s="710">
        <v>704847197.76999998</v>
      </c>
      <c r="O64" s="710">
        <v>945400477.62</v>
      </c>
      <c r="P64" s="710">
        <v>516953906.19999993</v>
      </c>
      <c r="Q64" s="710">
        <v>767445547.41644859</v>
      </c>
      <c r="R64" s="710">
        <v>745425604.44580603</v>
      </c>
      <c r="S64" s="710">
        <v>239024537.24874997</v>
      </c>
      <c r="T64" s="710">
        <v>764258523.61014557</v>
      </c>
      <c r="U64" s="710">
        <v>820037432.923908</v>
      </c>
      <c r="V64" s="710">
        <v>810991356.42000008</v>
      </c>
      <c r="W64" s="710">
        <v>347669535.66261798</v>
      </c>
      <c r="X64" s="710">
        <v>0</v>
      </c>
      <c r="Y64" s="710">
        <v>299755091.57572299</v>
      </c>
      <c r="Z64" s="710">
        <v>1787898908.472671</v>
      </c>
      <c r="AA64" s="710">
        <v>2277032474.2114487</v>
      </c>
      <c r="AB64" s="710">
        <v>1938371734.8453875</v>
      </c>
      <c r="AC64" s="710">
        <v>2577072556.9699998</v>
      </c>
      <c r="AD64" s="710">
        <v>2069784085.747412</v>
      </c>
      <c r="AE64" s="710">
        <v>1973623878.0107732</v>
      </c>
      <c r="AF64" s="710">
        <v>2768412672.5086889</v>
      </c>
      <c r="AG64" s="710">
        <v>3151795014.6551018</v>
      </c>
      <c r="AH64" s="710">
        <v>4017506137.6286469</v>
      </c>
      <c r="AI64" s="710">
        <v>3633452818.914052</v>
      </c>
      <c r="AJ64" s="710">
        <v>3501888101.6099997</v>
      </c>
      <c r="AK64" s="710">
        <v>2955845734.3199997</v>
      </c>
      <c r="AL64" s="710">
        <v>3162876783.6804504</v>
      </c>
      <c r="AM64" s="711">
        <v>4561939085.4899998</v>
      </c>
      <c r="AN64" s="710">
        <v>4605537673.3753719</v>
      </c>
      <c r="AO64" s="710">
        <v>7411292229.0109215</v>
      </c>
      <c r="AP64" s="710">
        <v>5840483192.3500004</v>
      </c>
      <c r="AQ64" s="710">
        <v>7523697886.1840334</v>
      </c>
      <c r="AR64" s="710">
        <v>6461209667.8553963</v>
      </c>
      <c r="AS64" s="710">
        <v>7088255526.9321041</v>
      </c>
      <c r="AT64" s="710">
        <v>2716717049.9652286</v>
      </c>
      <c r="AU64" s="710">
        <v>3129648461.3950372</v>
      </c>
      <c r="AV64" s="710">
        <v>1689442275.9431019</v>
      </c>
      <c r="AW64" s="710">
        <v>3807053202.2949915</v>
      </c>
      <c r="AX64" s="710">
        <v>1778260877.5582981</v>
      </c>
      <c r="AY64" s="711">
        <v>2369962769.2319951</v>
      </c>
      <c r="AZ64" s="710">
        <v>1592859357.1500001</v>
      </c>
      <c r="BA64" s="710">
        <v>1645524226.22</v>
      </c>
      <c r="BB64" s="710">
        <v>1279327931.9200001</v>
      </c>
      <c r="BC64" s="710">
        <v>1402720423.23</v>
      </c>
      <c r="BD64" s="710">
        <v>2390807331.3699999</v>
      </c>
      <c r="BE64" s="710">
        <v>1903135351.21</v>
      </c>
      <c r="BF64" s="711">
        <v>1183693982.48</v>
      </c>
      <c r="BG64" s="710">
        <v>1637981643.53</v>
      </c>
      <c r="BH64" s="711">
        <v>1152637548.6700001</v>
      </c>
      <c r="BI64" s="710">
        <v>1853306955.4699998</v>
      </c>
      <c r="BJ64" s="746">
        <v>1690271886.8400002</v>
      </c>
    </row>
    <row r="65" spans="1:62">
      <c r="A65" s="1232"/>
      <c r="B65" s="744" t="s">
        <v>645</v>
      </c>
      <c r="C65" s="745">
        <v>5475585780.3000002</v>
      </c>
      <c r="D65" s="710">
        <v>6310521402.8699999</v>
      </c>
      <c r="E65" s="710">
        <v>7078773323.2000008</v>
      </c>
      <c r="F65" s="710">
        <v>7621828737.9700003</v>
      </c>
      <c r="G65" s="710">
        <v>7494094382.0299997</v>
      </c>
      <c r="H65" s="710">
        <v>6963756586.0599995</v>
      </c>
      <c r="I65" s="710">
        <v>6683609669.6599998</v>
      </c>
      <c r="J65" s="710">
        <v>3984331413.1399999</v>
      </c>
      <c r="K65" s="710">
        <v>2690603308.4700003</v>
      </c>
      <c r="L65" s="710">
        <v>3615929865.27</v>
      </c>
      <c r="M65" s="710">
        <v>5409676297.0100002</v>
      </c>
      <c r="N65" s="710">
        <v>7628153102.0799999</v>
      </c>
      <c r="O65" s="710">
        <v>8061269630.8600006</v>
      </c>
      <c r="P65" s="710">
        <v>4769700496.5699997</v>
      </c>
      <c r="Q65" s="710">
        <v>5675269704.2256775</v>
      </c>
      <c r="R65" s="710">
        <v>7153922274.1176014</v>
      </c>
      <c r="S65" s="710">
        <v>3987245072.6025848</v>
      </c>
      <c r="T65" s="710">
        <v>4091646985.9124851</v>
      </c>
      <c r="U65" s="710">
        <v>1321846792.8015831</v>
      </c>
      <c r="V65" s="710">
        <v>2378058766.7799997</v>
      </c>
      <c r="W65" s="710">
        <v>638692635.12</v>
      </c>
      <c r="X65" s="710">
        <v>1505532131.8499999</v>
      </c>
      <c r="Y65" s="710">
        <v>3475869276.0200005</v>
      </c>
      <c r="Z65" s="710">
        <v>3622106952.6799998</v>
      </c>
      <c r="AA65" s="710">
        <v>4984768730.5</v>
      </c>
      <c r="AB65" s="710">
        <v>5472882556.8821774</v>
      </c>
      <c r="AC65" s="710">
        <v>3774076133.48</v>
      </c>
      <c r="AD65" s="710">
        <v>5167521600.75</v>
      </c>
      <c r="AE65" s="710">
        <v>6764073832.2900085</v>
      </c>
      <c r="AF65" s="710">
        <v>7851049101.8299999</v>
      </c>
      <c r="AG65" s="710">
        <v>7672098250.5100002</v>
      </c>
      <c r="AH65" s="710">
        <v>6131119780.0100002</v>
      </c>
      <c r="AI65" s="710">
        <v>8345322848.4622297</v>
      </c>
      <c r="AJ65" s="710">
        <v>8716195616.7099991</v>
      </c>
      <c r="AK65" s="710">
        <v>8631481800.0799999</v>
      </c>
      <c r="AL65" s="710">
        <v>9398217318.4399986</v>
      </c>
      <c r="AM65" s="711">
        <v>17487171755.919998</v>
      </c>
      <c r="AN65" s="710">
        <v>14361891167.76</v>
      </c>
      <c r="AO65" s="710">
        <v>17311456135.099998</v>
      </c>
      <c r="AP65" s="710">
        <v>16467660232.1</v>
      </c>
      <c r="AQ65" s="710">
        <v>8229451207.9200001</v>
      </c>
      <c r="AR65" s="710">
        <v>7140675376.0900002</v>
      </c>
      <c r="AS65" s="710">
        <v>7221906458.3500004</v>
      </c>
      <c r="AT65" s="710">
        <v>12475826429.73</v>
      </c>
      <c r="AU65" s="710">
        <v>12023270885.110001</v>
      </c>
      <c r="AV65" s="710">
        <v>9382790174.4000015</v>
      </c>
      <c r="AW65" s="710">
        <v>6461670165.4200001</v>
      </c>
      <c r="AX65" s="710">
        <v>8562761799.4800005</v>
      </c>
      <c r="AY65" s="711">
        <v>6874966128.8700008</v>
      </c>
      <c r="AZ65" s="710">
        <v>6282552622.8799992</v>
      </c>
      <c r="BA65" s="710">
        <v>19086750655.34</v>
      </c>
      <c r="BB65" s="710">
        <v>22736643685.060001</v>
      </c>
      <c r="BC65" s="710">
        <v>19120325047.970001</v>
      </c>
      <c r="BD65" s="710">
        <v>13452500259.799999</v>
      </c>
      <c r="BE65" s="710">
        <v>12902855000.5</v>
      </c>
      <c r="BF65" s="711">
        <v>14487444461.52</v>
      </c>
      <c r="BG65" s="710">
        <v>16304515318.02</v>
      </c>
      <c r="BH65" s="711">
        <v>16407422792.670002</v>
      </c>
      <c r="BI65" s="710">
        <v>18496322697.799999</v>
      </c>
      <c r="BJ65" s="746">
        <v>18411467944.889999</v>
      </c>
    </row>
    <row r="66" spans="1:62">
      <c r="A66" s="1232"/>
      <c r="B66" s="744" t="s">
        <v>646</v>
      </c>
      <c r="C66" s="745">
        <v>985123421.40999997</v>
      </c>
      <c r="D66" s="710">
        <v>906806703.49000001</v>
      </c>
      <c r="E66" s="710">
        <v>1529638889.28</v>
      </c>
      <c r="F66" s="710">
        <v>1065878925.0700001</v>
      </c>
      <c r="G66" s="710">
        <v>2316997262.75</v>
      </c>
      <c r="H66" s="710">
        <v>1935524246.5599999</v>
      </c>
      <c r="I66" s="710">
        <v>2103639707.6500001</v>
      </c>
      <c r="J66" s="710">
        <v>1849680802.8899999</v>
      </c>
      <c r="K66" s="710">
        <v>1057526439.54</v>
      </c>
      <c r="L66" s="710">
        <v>991857758.58000004</v>
      </c>
      <c r="M66" s="710">
        <v>1059061787.21</v>
      </c>
      <c r="N66" s="710">
        <v>1236628399.45</v>
      </c>
      <c r="O66" s="710">
        <v>1205539318.8399999</v>
      </c>
      <c r="P66" s="710">
        <v>642594692.42999995</v>
      </c>
      <c r="Q66" s="710">
        <v>1088406835.52</v>
      </c>
      <c r="R66" s="710">
        <v>1678743783.48</v>
      </c>
      <c r="S66" s="710">
        <v>585238208.01999998</v>
      </c>
      <c r="T66" s="710">
        <v>347642902.04000002</v>
      </c>
      <c r="U66" s="710">
        <v>1073784649.2385194</v>
      </c>
      <c r="V66" s="710">
        <v>1043968545.0381813</v>
      </c>
      <c r="W66" s="710">
        <v>972440218.25253367</v>
      </c>
      <c r="X66" s="710">
        <v>1724060503.1937866</v>
      </c>
      <c r="Y66" s="710">
        <v>1046651952.9474256</v>
      </c>
      <c r="Z66" s="710">
        <v>1220472583.5831861</v>
      </c>
      <c r="AA66" s="710">
        <v>642117329.3557179</v>
      </c>
      <c r="AB66" s="710">
        <v>1552083717.9304402</v>
      </c>
      <c r="AC66" s="710">
        <v>869567415.73000002</v>
      </c>
      <c r="AD66" s="710">
        <v>361372472.6798681</v>
      </c>
      <c r="AE66" s="710">
        <v>1656105444.9259403</v>
      </c>
      <c r="AF66" s="710">
        <v>1128497760.2034471</v>
      </c>
      <c r="AG66" s="710">
        <v>6822180.7786637619</v>
      </c>
      <c r="AH66" s="710">
        <v>1087264562.7582736</v>
      </c>
      <c r="AI66" s="710">
        <v>1666554634.3161581</v>
      </c>
      <c r="AJ66" s="710">
        <v>1380852826.28</v>
      </c>
      <c r="AK66" s="710">
        <v>607659648.44000006</v>
      </c>
      <c r="AL66" s="710">
        <v>2176191242.1328249</v>
      </c>
      <c r="AM66" s="711">
        <v>1686769972.3922825</v>
      </c>
      <c r="AN66" s="710">
        <v>1233488601.0652223</v>
      </c>
      <c r="AO66" s="710">
        <v>2926450074.8698101</v>
      </c>
      <c r="AP66" s="710">
        <v>0</v>
      </c>
      <c r="AQ66" s="710">
        <v>190275334.09999999</v>
      </c>
      <c r="AR66" s="710">
        <v>246624849.1575433</v>
      </c>
      <c r="AS66" s="710">
        <v>2036576692.6908345</v>
      </c>
      <c r="AT66" s="710">
        <v>3492562941.3356967</v>
      </c>
      <c r="AU66" s="710">
        <v>3236492435.1122169</v>
      </c>
      <c r="AV66" s="710">
        <v>2487148030.5687947</v>
      </c>
      <c r="AW66" s="710">
        <v>4523349810.0395851</v>
      </c>
      <c r="AX66" s="710">
        <v>4114731803.3268495</v>
      </c>
      <c r="AY66" s="711">
        <v>3906418725.3715644</v>
      </c>
      <c r="AZ66" s="710">
        <v>4372418084</v>
      </c>
      <c r="BA66" s="710">
        <v>5987844884.5</v>
      </c>
      <c r="BB66" s="710">
        <v>4918704189.3599997</v>
      </c>
      <c r="BC66" s="710">
        <v>2174881159.9099998</v>
      </c>
      <c r="BD66" s="710">
        <v>2490066406.52</v>
      </c>
      <c r="BE66" s="710">
        <v>0</v>
      </c>
      <c r="BF66" s="711">
        <v>930802587.95000005</v>
      </c>
      <c r="BG66" s="710">
        <v>4680140939.3199997</v>
      </c>
      <c r="BH66" s="711">
        <v>6188116635.6499996</v>
      </c>
      <c r="BI66" s="710">
        <v>5974035724.6799994</v>
      </c>
      <c r="BJ66" s="746">
        <v>6735662321.2200003</v>
      </c>
    </row>
    <row r="67" spans="1:62" s="752" customFormat="1">
      <c r="A67" s="1232"/>
      <c r="B67" s="747" t="s">
        <v>647</v>
      </c>
      <c r="C67" s="748">
        <v>3205674612.3200002</v>
      </c>
      <c r="D67" s="749">
        <v>2774798724.1360631</v>
      </c>
      <c r="E67" s="749">
        <v>3207137106.1507258</v>
      </c>
      <c r="F67" s="749">
        <v>2693823954.4899998</v>
      </c>
      <c r="G67" s="749">
        <v>3003189758.79</v>
      </c>
      <c r="H67" s="749">
        <v>2689636676.4099998</v>
      </c>
      <c r="I67" s="749">
        <v>3079297657.5500002</v>
      </c>
      <c r="J67" s="749">
        <v>3354392378.1300001</v>
      </c>
      <c r="K67" s="749">
        <v>3250593153.6899996</v>
      </c>
      <c r="L67" s="749">
        <v>3583373506.4099998</v>
      </c>
      <c r="M67" s="749">
        <v>3619644666.4099998</v>
      </c>
      <c r="N67" s="749">
        <v>2878687717.0699997</v>
      </c>
      <c r="O67" s="749">
        <v>2738143155.3028135</v>
      </c>
      <c r="P67" s="749">
        <v>2485540267.23</v>
      </c>
      <c r="Q67" s="749">
        <v>2795481236.1399999</v>
      </c>
      <c r="R67" s="749">
        <v>3437318201</v>
      </c>
      <c r="S67" s="749">
        <v>3777973982.9300003</v>
      </c>
      <c r="T67" s="749">
        <v>3314036053.1300001</v>
      </c>
      <c r="U67" s="749">
        <v>3193420640.29</v>
      </c>
      <c r="V67" s="749">
        <v>3325368779.5700002</v>
      </c>
      <c r="W67" s="749">
        <v>2806082666.5699997</v>
      </c>
      <c r="X67" s="749">
        <v>2918218831.23</v>
      </c>
      <c r="Y67" s="749">
        <v>3131204851.1800003</v>
      </c>
      <c r="Z67" s="749">
        <v>3092140907.0699997</v>
      </c>
      <c r="AA67" s="749">
        <v>2913577336.29</v>
      </c>
      <c r="AB67" s="749">
        <v>2907254443.7181416</v>
      </c>
      <c r="AC67" s="749">
        <v>3857545799.8500004</v>
      </c>
      <c r="AD67" s="749">
        <v>3035246993.5599999</v>
      </c>
      <c r="AE67" s="749">
        <v>4641979234.2699986</v>
      </c>
      <c r="AF67" s="749">
        <v>5758579287.6899996</v>
      </c>
      <c r="AG67" s="749">
        <v>5234535168.25</v>
      </c>
      <c r="AH67" s="749">
        <v>4921486439.3922539</v>
      </c>
      <c r="AI67" s="749">
        <v>5254122822.7831898</v>
      </c>
      <c r="AJ67" s="749">
        <v>5252572051.8199997</v>
      </c>
      <c r="AK67" s="749">
        <v>5845482481.9099998</v>
      </c>
      <c r="AL67" s="749">
        <v>6706912001.2299995</v>
      </c>
      <c r="AM67" s="750">
        <v>9426273139.5100002</v>
      </c>
      <c r="AN67" s="749">
        <v>8013252300.4200001</v>
      </c>
      <c r="AO67" s="749">
        <v>9396090613.8699989</v>
      </c>
      <c r="AP67" s="749">
        <v>8574489139.7399998</v>
      </c>
      <c r="AQ67" s="749">
        <v>10285747946.701986</v>
      </c>
      <c r="AR67" s="749">
        <v>8853565791.7999992</v>
      </c>
      <c r="AS67" s="749">
        <v>12865662319.93</v>
      </c>
      <c r="AT67" s="749">
        <v>13470689344.630001</v>
      </c>
      <c r="AU67" s="749">
        <v>15413991504.110001</v>
      </c>
      <c r="AV67" s="749">
        <v>15440529827.07</v>
      </c>
      <c r="AW67" s="749">
        <v>14729896648.630001</v>
      </c>
      <c r="AX67" s="749">
        <v>14336816251.389999</v>
      </c>
      <c r="AY67" s="750">
        <v>14233646511.389999</v>
      </c>
      <c r="AZ67" s="749">
        <v>12746046864.32</v>
      </c>
      <c r="BA67" s="749">
        <v>13978396307.939999</v>
      </c>
      <c r="BB67" s="749">
        <v>12758023400.229361</v>
      </c>
      <c r="BC67" s="749">
        <v>14733544006.85</v>
      </c>
      <c r="BD67" s="749">
        <v>10259601254.439999</v>
      </c>
      <c r="BE67" s="749">
        <v>12378477433.23</v>
      </c>
      <c r="BF67" s="750">
        <v>13081049623.040001</v>
      </c>
      <c r="BG67" s="749">
        <v>8732729248.6000004</v>
      </c>
      <c r="BH67" s="750">
        <v>10478553464.1</v>
      </c>
      <c r="BI67" s="749">
        <v>10243904660.92</v>
      </c>
      <c r="BJ67" s="751">
        <v>9344891731.289999</v>
      </c>
    </row>
    <row r="68" spans="1:62" s="752" customFormat="1">
      <c r="A68" s="1232"/>
      <c r="B68" s="747" t="s">
        <v>648</v>
      </c>
      <c r="C68" s="748">
        <v>3039255000.9200001</v>
      </c>
      <c r="D68" s="749">
        <v>2660490453.4408884</v>
      </c>
      <c r="E68" s="749">
        <v>3228753769.4595833</v>
      </c>
      <c r="F68" s="749">
        <v>2786532193.8400002</v>
      </c>
      <c r="G68" s="749">
        <v>2670821110.4899998</v>
      </c>
      <c r="H68" s="749">
        <v>2580593512.54</v>
      </c>
      <c r="I68" s="749">
        <v>2957654957.1099997</v>
      </c>
      <c r="J68" s="749">
        <v>3214008278.6999998</v>
      </c>
      <c r="K68" s="749">
        <v>3223129897.3999996</v>
      </c>
      <c r="L68" s="749">
        <v>3714446039.8499999</v>
      </c>
      <c r="M68" s="749">
        <v>3360806728.4200001</v>
      </c>
      <c r="N68" s="749">
        <v>2772297218.9200001</v>
      </c>
      <c r="O68" s="749">
        <v>2804398274.2270317</v>
      </c>
      <c r="P68" s="749">
        <v>2516693213.1099997</v>
      </c>
      <c r="Q68" s="749">
        <v>2684736243.1199999</v>
      </c>
      <c r="R68" s="749">
        <v>3114451734.8900003</v>
      </c>
      <c r="S68" s="749">
        <v>3598404542.3200002</v>
      </c>
      <c r="T68" s="749">
        <v>3216688523.3999996</v>
      </c>
      <c r="U68" s="749">
        <v>3251689568.5700002</v>
      </c>
      <c r="V68" s="749">
        <v>3244922849.27</v>
      </c>
      <c r="W68" s="749">
        <v>2761474276.98</v>
      </c>
      <c r="X68" s="749">
        <v>2760640515.3000002</v>
      </c>
      <c r="Y68" s="749">
        <v>3168548579.1700001</v>
      </c>
      <c r="Z68" s="749">
        <v>3288328632.4499998</v>
      </c>
      <c r="AA68" s="749">
        <v>3518648452.2399998</v>
      </c>
      <c r="AB68" s="749">
        <v>3064555841.3454037</v>
      </c>
      <c r="AC68" s="749">
        <v>3910549907.6100001</v>
      </c>
      <c r="AD68" s="749">
        <v>3169072316.25</v>
      </c>
      <c r="AE68" s="749">
        <v>5100539164.9666862</v>
      </c>
      <c r="AF68" s="749">
        <v>6299461772.1199999</v>
      </c>
      <c r="AG68" s="749">
        <v>6022916250.5821571</v>
      </c>
      <c r="AH68" s="749">
        <v>5262126048.3899994</v>
      </c>
      <c r="AI68" s="749">
        <v>5523245568.46</v>
      </c>
      <c r="AJ68" s="749">
        <v>6079111859.5699997</v>
      </c>
      <c r="AK68" s="749">
        <v>6328037245.2800007</v>
      </c>
      <c r="AL68" s="749">
        <v>6799377005.4400005</v>
      </c>
      <c r="AM68" s="750">
        <v>9712959599.9099998</v>
      </c>
      <c r="AN68" s="749">
        <v>8065710493.25</v>
      </c>
      <c r="AO68" s="749">
        <v>9471818808.1199989</v>
      </c>
      <c r="AP68" s="749">
        <v>7988326218.96</v>
      </c>
      <c r="AQ68" s="749">
        <v>10551670949.74</v>
      </c>
      <c r="AR68" s="749">
        <v>9341993150.8099995</v>
      </c>
      <c r="AS68" s="749">
        <v>11639996405.299999</v>
      </c>
      <c r="AT68" s="749">
        <v>12452901146.619999</v>
      </c>
      <c r="AU68" s="749">
        <v>15747399483.060001</v>
      </c>
      <c r="AV68" s="749">
        <v>15107582058.43</v>
      </c>
      <c r="AW68" s="749">
        <v>14469018581.709999</v>
      </c>
      <c r="AX68" s="749">
        <v>14408813032.09</v>
      </c>
      <c r="AY68" s="750">
        <v>14477955628.129999</v>
      </c>
      <c r="AZ68" s="749">
        <v>12718581798.299999</v>
      </c>
      <c r="BA68" s="749">
        <v>13116722665.450001</v>
      </c>
      <c r="BB68" s="749">
        <v>12512753781.088924</v>
      </c>
      <c r="BC68" s="749">
        <v>14830189392.02</v>
      </c>
      <c r="BD68" s="749">
        <v>11028903249.040001</v>
      </c>
      <c r="BE68" s="749">
        <v>13964718952.860001</v>
      </c>
      <c r="BF68" s="750">
        <v>12918200855.740002</v>
      </c>
      <c r="BG68" s="749">
        <v>8585280748.9499998</v>
      </c>
      <c r="BH68" s="750">
        <v>9845089706.2700005</v>
      </c>
      <c r="BI68" s="749">
        <v>9975196591.9300003</v>
      </c>
      <c r="BJ68" s="751">
        <v>9262095271.5699997</v>
      </c>
    </row>
    <row r="69" spans="1:62">
      <c r="A69" s="1232"/>
      <c r="B69" s="744" t="s">
        <v>649</v>
      </c>
      <c r="C69" s="745">
        <v>0</v>
      </c>
      <c r="D69" s="710">
        <v>0</v>
      </c>
      <c r="E69" s="710">
        <v>0</v>
      </c>
      <c r="F69" s="710">
        <v>1206129229.6100001</v>
      </c>
      <c r="G69" s="710">
        <v>1789001178.3099999</v>
      </c>
      <c r="H69" s="710">
        <v>904753857.99000001</v>
      </c>
      <c r="I69" s="710">
        <v>1217164552.1800001</v>
      </c>
      <c r="J69" s="710">
        <v>1399207390</v>
      </c>
      <c r="K69" s="710">
        <v>741532315.99000001</v>
      </c>
      <c r="L69" s="710">
        <v>235965176.86000001</v>
      </c>
      <c r="M69" s="710">
        <v>1099882486.23</v>
      </c>
      <c r="N69" s="710">
        <v>1635913998.1099999</v>
      </c>
      <c r="O69" s="710">
        <v>952408597.03999996</v>
      </c>
      <c r="P69" s="710">
        <v>1205692607.8099999</v>
      </c>
      <c r="Q69" s="710">
        <v>604128465.24000001</v>
      </c>
      <c r="R69" s="710">
        <v>409315302.88</v>
      </c>
      <c r="S69" s="710">
        <v>1404712541.5900002</v>
      </c>
      <c r="T69" s="710">
        <v>1188007838.1199999</v>
      </c>
      <c r="U69" s="710">
        <v>0</v>
      </c>
      <c r="V69" s="710">
        <v>417244101.23000002</v>
      </c>
      <c r="W69" s="710">
        <v>732391766.35000002</v>
      </c>
      <c r="X69" s="710">
        <v>665739217.13</v>
      </c>
      <c r="Y69" s="710">
        <v>0</v>
      </c>
      <c r="Z69" s="710">
        <v>3880741.85</v>
      </c>
      <c r="AA69" s="710">
        <v>0</v>
      </c>
      <c r="AB69" s="710">
        <v>0</v>
      </c>
      <c r="AC69" s="710">
        <v>0</v>
      </c>
      <c r="AD69" s="710">
        <v>0</v>
      </c>
      <c r="AE69" s="710">
        <v>0</v>
      </c>
      <c r="AF69" s="710">
        <v>0</v>
      </c>
      <c r="AG69" s="710">
        <v>0</v>
      </c>
      <c r="AH69" s="710">
        <v>0</v>
      </c>
      <c r="AI69" s="710">
        <v>0</v>
      </c>
      <c r="AJ69" s="710">
        <v>0</v>
      </c>
      <c r="AK69" s="710">
        <v>0</v>
      </c>
      <c r="AL69" s="710">
        <v>0</v>
      </c>
      <c r="AM69" s="711">
        <v>0</v>
      </c>
      <c r="AN69" s="710">
        <v>0</v>
      </c>
      <c r="AO69" s="710">
        <v>0</v>
      </c>
      <c r="AP69" s="710">
        <v>0</v>
      </c>
      <c r="AQ69" s="710">
        <v>0</v>
      </c>
      <c r="AR69" s="710">
        <v>0</v>
      </c>
      <c r="AS69" s="710">
        <v>0</v>
      </c>
      <c r="AT69" s="710">
        <v>0</v>
      </c>
      <c r="AU69" s="710">
        <v>0</v>
      </c>
      <c r="AV69" s="710">
        <v>0</v>
      </c>
      <c r="AW69" s="710">
        <v>0</v>
      </c>
      <c r="AX69" s="710">
        <v>0</v>
      </c>
      <c r="AY69" s="711">
        <v>0</v>
      </c>
      <c r="AZ69" s="710">
        <v>0</v>
      </c>
      <c r="BA69" s="710">
        <v>0</v>
      </c>
      <c r="BB69" s="710">
        <v>0</v>
      </c>
      <c r="BC69" s="710">
        <v>0</v>
      </c>
      <c r="BD69" s="710">
        <v>0</v>
      </c>
      <c r="BE69" s="710">
        <v>0</v>
      </c>
      <c r="BF69" s="711">
        <v>0</v>
      </c>
      <c r="BG69" s="710">
        <v>0</v>
      </c>
      <c r="BH69" s="711">
        <v>0</v>
      </c>
      <c r="BI69" s="710">
        <v>0</v>
      </c>
      <c r="BJ69" s="746">
        <v>0</v>
      </c>
    </row>
    <row r="70" spans="1:62">
      <c r="A70" s="1232"/>
      <c r="B70" s="744" t="s">
        <v>650</v>
      </c>
      <c r="C70" s="745">
        <v>1729418923.4300001</v>
      </c>
      <c r="D70" s="710">
        <v>1573115300.9400001</v>
      </c>
      <c r="E70" s="710">
        <v>0</v>
      </c>
      <c r="F70" s="710">
        <v>675702520.91000009</v>
      </c>
      <c r="G70" s="710">
        <v>276192217.16000003</v>
      </c>
      <c r="H70" s="710">
        <v>672969989.85000002</v>
      </c>
      <c r="I70" s="710">
        <v>1045558078.0999999</v>
      </c>
      <c r="J70" s="710">
        <v>1084992106.5900002</v>
      </c>
      <c r="K70" s="710">
        <v>651240052.47000003</v>
      </c>
      <c r="L70" s="710">
        <v>1583503725.6800001</v>
      </c>
      <c r="M70" s="710">
        <v>1732682547.3699999</v>
      </c>
      <c r="N70" s="710">
        <v>1332170193.55</v>
      </c>
      <c r="O70" s="710">
        <v>1147739145.29</v>
      </c>
      <c r="P70" s="710">
        <v>1052907162.1900001</v>
      </c>
      <c r="Q70" s="710">
        <v>0</v>
      </c>
      <c r="R70" s="710">
        <v>1046915430.6800001</v>
      </c>
      <c r="S70" s="710">
        <v>1700101088.55</v>
      </c>
      <c r="T70" s="710">
        <v>1837354345.78</v>
      </c>
      <c r="U70" s="710">
        <v>1533419967.9699998</v>
      </c>
      <c r="V70" s="710">
        <v>1498982216.7800002</v>
      </c>
      <c r="W70" s="710">
        <v>1463516237.95</v>
      </c>
      <c r="X70" s="710">
        <v>1207910721.98</v>
      </c>
      <c r="Y70" s="710">
        <v>1798543533.1399999</v>
      </c>
      <c r="Z70" s="710">
        <v>240141451.85999998</v>
      </c>
      <c r="AA70" s="710">
        <v>0</v>
      </c>
      <c r="AB70" s="710">
        <v>0</v>
      </c>
      <c r="AC70" s="710">
        <v>976013215.79999995</v>
      </c>
      <c r="AD70" s="710">
        <v>0</v>
      </c>
      <c r="AE70" s="710">
        <v>0</v>
      </c>
      <c r="AF70" s="710">
        <v>106502370.56</v>
      </c>
      <c r="AG70" s="710">
        <v>0</v>
      </c>
      <c r="AH70" s="710">
        <v>400669557.40126026</v>
      </c>
      <c r="AI70" s="710">
        <v>2505444762.2980704</v>
      </c>
      <c r="AJ70" s="710">
        <v>2499926875.3800001</v>
      </c>
      <c r="AK70" s="710">
        <v>2009465317.1100001</v>
      </c>
      <c r="AL70" s="710">
        <v>4793089314.1999998</v>
      </c>
      <c r="AM70" s="711">
        <v>4852446093.2343044</v>
      </c>
      <c r="AN70" s="710">
        <v>5836063816.0265846</v>
      </c>
      <c r="AO70" s="710">
        <v>5289278569.3199997</v>
      </c>
      <c r="AP70" s="710">
        <v>4676446345.79</v>
      </c>
      <c r="AQ70" s="710">
        <v>11813967931.238327</v>
      </c>
      <c r="AR70" s="710">
        <v>7869095991.2000008</v>
      </c>
      <c r="AS70" s="710">
        <v>4534001859.3400002</v>
      </c>
      <c r="AT70" s="710">
        <v>7739920289.0699997</v>
      </c>
      <c r="AU70" s="710">
        <v>3095608294.5300002</v>
      </c>
      <c r="AV70" s="710">
        <v>1649602327.3099999</v>
      </c>
      <c r="AW70" s="710">
        <v>7219263027.2000008</v>
      </c>
      <c r="AX70" s="710">
        <v>11272248943.23</v>
      </c>
      <c r="AY70" s="711">
        <v>12622137075.18</v>
      </c>
      <c r="AZ70" s="710">
        <v>10552856362.559999</v>
      </c>
      <c r="BA70" s="710">
        <v>11848404122.02</v>
      </c>
      <c r="BB70" s="710">
        <v>8934154410.5226192</v>
      </c>
      <c r="BC70" s="710">
        <v>5519548658.3299999</v>
      </c>
      <c r="BD70" s="710">
        <v>5153350788.5300007</v>
      </c>
      <c r="BE70" s="710">
        <v>2652616781.6599998</v>
      </c>
      <c r="BF70" s="711">
        <v>3892709481.1599998</v>
      </c>
      <c r="BG70" s="710">
        <v>4514544420.54</v>
      </c>
      <c r="BH70" s="711">
        <v>4791731247.5699997</v>
      </c>
      <c r="BI70" s="710">
        <v>5162786183.7399998</v>
      </c>
      <c r="BJ70" s="746">
        <v>6156204765.5100002</v>
      </c>
    </row>
    <row r="71" spans="1:62">
      <c r="A71" s="1232"/>
      <c r="B71" s="744" t="s">
        <v>651</v>
      </c>
      <c r="C71" s="745">
        <v>5043297757.7399998</v>
      </c>
      <c r="D71" s="710">
        <v>3649052485.3400002</v>
      </c>
      <c r="E71" s="710">
        <v>4553069587.0900002</v>
      </c>
      <c r="F71" s="710">
        <v>4212887206.9200001</v>
      </c>
      <c r="G71" s="710">
        <v>5335750991.0500002</v>
      </c>
      <c r="H71" s="710">
        <v>3605125757.2000003</v>
      </c>
      <c r="I71" s="710">
        <v>2449992714.5799999</v>
      </c>
      <c r="J71" s="710">
        <v>3888998760.3800001</v>
      </c>
      <c r="K71" s="710">
        <v>3659232647.0699997</v>
      </c>
      <c r="L71" s="710">
        <v>4282036662.4500003</v>
      </c>
      <c r="M71" s="710">
        <v>3894004058.1700001</v>
      </c>
      <c r="N71" s="710">
        <v>3252403131.4900002</v>
      </c>
      <c r="O71" s="710">
        <v>4195770128.6700001</v>
      </c>
      <c r="P71" s="710">
        <v>2746265462.77</v>
      </c>
      <c r="Q71" s="710">
        <v>1194276361.6600001</v>
      </c>
      <c r="R71" s="710">
        <v>913854147.39999998</v>
      </c>
      <c r="S71" s="710">
        <v>1042982741.77</v>
      </c>
      <c r="T71" s="710">
        <v>3914532144.25</v>
      </c>
      <c r="U71" s="710">
        <v>4276485025.46</v>
      </c>
      <c r="V71" s="710">
        <v>3459311235.6000004</v>
      </c>
      <c r="W71" s="710">
        <v>5015986955.3499994</v>
      </c>
      <c r="X71" s="710">
        <v>5086895371.8900003</v>
      </c>
      <c r="Y71" s="710">
        <v>3289577522.0599999</v>
      </c>
      <c r="Z71" s="710">
        <v>1817719434.5500002</v>
      </c>
      <c r="AA71" s="710">
        <v>6921942740.1099997</v>
      </c>
      <c r="AB71" s="710">
        <v>2363154352.5225925</v>
      </c>
      <c r="AC71" s="710">
        <v>4355572316.8699999</v>
      </c>
      <c r="AD71" s="710">
        <v>5522052135.7399998</v>
      </c>
      <c r="AE71" s="710">
        <v>7835299167.25</v>
      </c>
      <c r="AF71" s="710">
        <v>8418306251.8799992</v>
      </c>
      <c r="AG71" s="710">
        <v>2560926051.3800001</v>
      </c>
      <c r="AH71" s="710">
        <v>0</v>
      </c>
      <c r="AI71" s="710">
        <v>5968513068.4976749</v>
      </c>
      <c r="AJ71" s="710">
        <v>5561657854.5900002</v>
      </c>
      <c r="AK71" s="710">
        <v>6064119187.3599997</v>
      </c>
      <c r="AL71" s="710">
        <v>5755517774.5199995</v>
      </c>
      <c r="AM71" s="711">
        <v>6955977941.0966158</v>
      </c>
      <c r="AN71" s="710">
        <v>15324579084.462952</v>
      </c>
      <c r="AO71" s="710">
        <v>16162015315.710001</v>
      </c>
      <c r="AP71" s="710">
        <v>12127983774.65</v>
      </c>
      <c r="AQ71" s="710">
        <v>21362616712.18</v>
      </c>
      <c r="AR71" s="710">
        <v>19060687373.510002</v>
      </c>
      <c r="AS71" s="710">
        <v>15945580661.93</v>
      </c>
      <c r="AT71" s="710">
        <v>9439832133.6599998</v>
      </c>
      <c r="AU71" s="710">
        <v>15418509919.019999</v>
      </c>
      <c r="AV71" s="710">
        <v>16245922783.82</v>
      </c>
      <c r="AW71" s="710">
        <v>24982235120.110001</v>
      </c>
      <c r="AX71" s="710">
        <v>31526634310.5</v>
      </c>
      <c r="AY71" s="711">
        <v>21554066119.759998</v>
      </c>
      <c r="AZ71" s="710">
        <v>21786157544.040001</v>
      </c>
      <c r="BA71" s="710">
        <v>19565640680.759998</v>
      </c>
      <c r="BB71" s="710">
        <v>14323705361.220001</v>
      </c>
      <c r="BC71" s="710">
        <v>14132498886.639999</v>
      </c>
      <c r="BD71" s="710">
        <v>14908627161.540001</v>
      </c>
      <c r="BE71" s="710">
        <v>15439814468.41</v>
      </c>
      <c r="BF71" s="711">
        <v>10491578808.48</v>
      </c>
      <c r="BG71" s="710">
        <v>11585959771.799999</v>
      </c>
      <c r="BH71" s="711">
        <v>10561281762.58</v>
      </c>
      <c r="BI71" s="710">
        <v>5170202458.3800001</v>
      </c>
      <c r="BJ71" s="746">
        <v>6902726952.1499996</v>
      </c>
    </row>
    <row r="72" spans="1:62">
      <c r="A72" s="1232"/>
      <c r="B72" s="744" t="s">
        <v>652</v>
      </c>
      <c r="C72" s="745">
        <v>0</v>
      </c>
      <c r="D72" s="710">
        <v>8636395.0399999991</v>
      </c>
      <c r="E72" s="710">
        <v>981890609.69000006</v>
      </c>
      <c r="F72" s="710">
        <v>86338467.280000001</v>
      </c>
      <c r="G72" s="710">
        <v>0</v>
      </c>
      <c r="H72" s="710">
        <v>0</v>
      </c>
      <c r="I72" s="710">
        <v>0</v>
      </c>
      <c r="J72" s="710">
        <v>92403928.909999996</v>
      </c>
      <c r="K72" s="710">
        <v>39989518.520000003</v>
      </c>
      <c r="L72" s="710">
        <v>0</v>
      </c>
      <c r="M72" s="710">
        <v>0</v>
      </c>
      <c r="N72" s="710">
        <v>0</v>
      </c>
      <c r="O72" s="710">
        <v>0</v>
      </c>
      <c r="P72" s="710">
        <v>189428849.56</v>
      </c>
      <c r="Q72" s="710">
        <v>724287689.28999996</v>
      </c>
      <c r="R72" s="710">
        <v>1721599535.8299999</v>
      </c>
      <c r="S72" s="710">
        <v>1097110458.8299999</v>
      </c>
      <c r="T72" s="710">
        <v>914676876.45999992</v>
      </c>
      <c r="U72" s="710">
        <v>0</v>
      </c>
      <c r="V72" s="710">
        <v>256755923.25</v>
      </c>
      <c r="W72" s="710">
        <v>0</v>
      </c>
      <c r="X72" s="710">
        <v>86867243.730000004</v>
      </c>
      <c r="Y72" s="710">
        <v>919676246.95999992</v>
      </c>
      <c r="Z72" s="710">
        <v>775469671.44999993</v>
      </c>
      <c r="AA72" s="710">
        <v>0</v>
      </c>
      <c r="AB72" s="710">
        <v>0</v>
      </c>
      <c r="AC72" s="710">
        <v>141594733.5</v>
      </c>
      <c r="AD72" s="710">
        <v>0</v>
      </c>
      <c r="AE72" s="710">
        <v>0</v>
      </c>
      <c r="AF72" s="710">
        <v>0</v>
      </c>
      <c r="AG72" s="710">
        <v>0</v>
      </c>
      <c r="AH72" s="710">
        <v>0</v>
      </c>
      <c r="AI72" s="710">
        <v>1411128702.7032986</v>
      </c>
      <c r="AJ72" s="710">
        <v>1009999779.51</v>
      </c>
      <c r="AK72" s="710">
        <v>1676813798.1700001</v>
      </c>
      <c r="AL72" s="710">
        <v>3355233640.3500004</v>
      </c>
      <c r="AM72" s="711">
        <v>5370860779.3097496</v>
      </c>
      <c r="AN72" s="710">
        <v>2596074178.8223324</v>
      </c>
      <c r="AO72" s="710">
        <v>3615524562.21</v>
      </c>
      <c r="AP72" s="710">
        <v>1343363210.78</v>
      </c>
      <c r="AQ72" s="710">
        <v>703667137.96937561</v>
      </c>
      <c r="AR72" s="710">
        <v>478424808.38</v>
      </c>
      <c r="AS72" s="710">
        <v>4142860519.4399996</v>
      </c>
      <c r="AT72" s="710">
        <v>3266028315.7599998</v>
      </c>
      <c r="AU72" s="710">
        <v>3196999904.6199999</v>
      </c>
      <c r="AV72" s="710">
        <v>1994965280.04</v>
      </c>
      <c r="AW72" s="710">
        <v>415445076.96000004</v>
      </c>
      <c r="AX72" s="710">
        <v>1935163041.2199998</v>
      </c>
      <c r="AY72" s="711">
        <v>1145841547.72</v>
      </c>
      <c r="AZ72" s="710">
        <v>1504726652.8700001</v>
      </c>
      <c r="BA72" s="710">
        <v>0</v>
      </c>
      <c r="BB72" s="710">
        <v>708464753.47000003</v>
      </c>
      <c r="BC72" s="710">
        <v>3934880538.2399998</v>
      </c>
      <c r="BD72" s="710">
        <v>599556683.29999995</v>
      </c>
      <c r="BE72" s="710">
        <v>1570755626.6900001</v>
      </c>
      <c r="BF72" s="711">
        <v>5499585235.3699999</v>
      </c>
      <c r="BG72" s="710">
        <v>761184731.63</v>
      </c>
      <c r="BH72" s="711">
        <v>4562365890.96</v>
      </c>
      <c r="BI72" s="710">
        <v>3466929330.79</v>
      </c>
      <c r="BJ72" s="746">
        <v>1032152336.72</v>
      </c>
    </row>
    <row r="73" spans="1:62">
      <c r="A73" s="1232"/>
      <c r="B73" s="744" t="s">
        <v>653</v>
      </c>
      <c r="C73" s="745">
        <v>1019635077.5599999</v>
      </c>
      <c r="D73" s="710">
        <v>767870076.98000002</v>
      </c>
      <c r="E73" s="710">
        <v>925264545.07000005</v>
      </c>
      <c r="F73" s="710">
        <v>75564833.519999996</v>
      </c>
      <c r="G73" s="710">
        <v>0</v>
      </c>
      <c r="H73" s="710">
        <v>311342296.83000004</v>
      </c>
      <c r="I73" s="710">
        <v>109794395.36</v>
      </c>
      <c r="J73" s="710">
        <v>934696908.92000008</v>
      </c>
      <c r="K73" s="710">
        <v>39035308.740000002</v>
      </c>
      <c r="L73" s="710">
        <v>228404949.92000002</v>
      </c>
      <c r="M73" s="710">
        <v>295487083.19999999</v>
      </c>
      <c r="N73" s="710">
        <v>584106972.48000002</v>
      </c>
      <c r="O73" s="710">
        <v>210654067.99000001</v>
      </c>
      <c r="P73" s="710">
        <v>1296458844.04</v>
      </c>
      <c r="Q73" s="710">
        <v>1840524304.4000001</v>
      </c>
      <c r="R73" s="710">
        <v>1729025872.6599998</v>
      </c>
      <c r="S73" s="710">
        <v>775924134.05000007</v>
      </c>
      <c r="T73" s="710">
        <v>980048983.32000005</v>
      </c>
      <c r="U73" s="710">
        <v>1979544744.75</v>
      </c>
      <c r="V73" s="710">
        <v>1690531780.03</v>
      </c>
      <c r="W73" s="710">
        <v>0</v>
      </c>
      <c r="X73" s="710">
        <v>0</v>
      </c>
      <c r="Y73" s="710">
        <v>0</v>
      </c>
      <c r="Z73" s="710">
        <v>0</v>
      </c>
      <c r="AA73" s="710">
        <v>0</v>
      </c>
      <c r="AB73" s="710">
        <v>0</v>
      </c>
      <c r="AC73" s="710">
        <v>0</v>
      </c>
      <c r="AD73" s="710">
        <v>0</v>
      </c>
      <c r="AE73" s="710">
        <v>13906989.960000001</v>
      </c>
      <c r="AF73" s="710">
        <v>333240233.33000004</v>
      </c>
      <c r="AG73" s="710">
        <v>944731501.63213599</v>
      </c>
      <c r="AH73" s="710">
        <v>562341845.5</v>
      </c>
      <c r="AI73" s="710">
        <v>188781475.62888885</v>
      </c>
      <c r="AJ73" s="710">
        <v>1995858758.71</v>
      </c>
      <c r="AK73" s="710">
        <v>2915305807.5900002</v>
      </c>
      <c r="AL73" s="710">
        <v>1724907656.9400001</v>
      </c>
      <c r="AM73" s="711">
        <v>1609211003.8652611</v>
      </c>
      <c r="AN73" s="710">
        <v>0</v>
      </c>
      <c r="AO73" s="710">
        <v>0</v>
      </c>
      <c r="AP73" s="710">
        <v>0</v>
      </c>
      <c r="AQ73" s="710">
        <v>0</v>
      </c>
      <c r="AR73" s="710">
        <v>0</v>
      </c>
      <c r="AS73" s="710">
        <v>0</v>
      </c>
      <c r="AT73" s="710">
        <v>0</v>
      </c>
      <c r="AU73" s="710">
        <v>0</v>
      </c>
      <c r="AV73" s="710">
        <v>0</v>
      </c>
      <c r="AW73" s="710">
        <v>0</v>
      </c>
      <c r="AX73" s="710">
        <v>879886204.83999991</v>
      </c>
      <c r="AY73" s="711">
        <v>2746259073</v>
      </c>
      <c r="AZ73" s="710">
        <v>3087832645.6399999</v>
      </c>
      <c r="BA73" s="710">
        <v>837057781.11999989</v>
      </c>
      <c r="BB73" s="710">
        <v>0</v>
      </c>
      <c r="BC73" s="710">
        <v>1544498566.51</v>
      </c>
      <c r="BD73" s="710">
        <v>4997546057.2800007</v>
      </c>
      <c r="BE73" s="710">
        <v>3477367041.96</v>
      </c>
      <c r="BF73" s="711">
        <v>2172338434.79</v>
      </c>
      <c r="BG73" s="710">
        <v>0</v>
      </c>
      <c r="BH73" s="711">
        <v>48516919.799999997</v>
      </c>
      <c r="BI73" s="710">
        <v>1391671840.4100001</v>
      </c>
      <c r="BJ73" s="746">
        <v>2088772881.4499998</v>
      </c>
    </row>
    <row r="74" spans="1:62">
      <c r="A74" s="1232"/>
      <c r="B74" s="744" t="s">
        <v>654</v>
      </c>
      <c r="C74" s="745">
        <v>523724504.08999997</v>
      </c>
      <c r="D74" s="710">
        <v>75086293.459999993</v>
      </c>
      <c r="E74" s="710">
        <v>675164917.88999999</v>
      </c>
      <c r="F74" s="710">
        <v>19252175.41</v>
      </c>
      <c r="G74" s="710">
        <v>0</v>
      </c>
      <c r="H74" s="710">
        <v>0</v>
      </c>
      <c r="I74" s="710">
        <v>1081609002.3600001</v>
      </c>
      <c r="J74" s="710">
        <v>1084024274.5799999</v>
      </c>
      <c r="K74" s="710">
        <v>680697972.13</v>
      </c>
      <c r="L74" s="710">
        <v>477499775.31999999</v>
      </c>
      <c r="M74" s="710">
        <v>630013530.74000001</v>
      </c>
      <c r="N74" s="710">
        <v>88870951.400000006</v>
      </c>
      <c r="O74" s="710">
        <v>599532710.73000002</v>
      </c>
      <c r="P74" s="710">
        <v>652870729.42999995</v>
      </c>
      <c r="Q74" s="710">
        <v>1466479495.6200001</v>
      </c>
      <c r="R74" s="710">
        <v>910883855.13</v>
      </c>
      <c r="S74" s="710">
        <v>1237109877.0700002</v>
      </c>
      <c r="T74" s="710">
        <v>994161196.43000007</v>
      </c>
      <c r="U74" s="710">
        <v>130257137.19</v>
      </c>
      <c r="V74" s="710">
        <v>404601940.01999998</v>
      </c>
      <c r="W74" s="710">
        <v>59450828.019999996</v>
      </c>
      <c r="X74" s="710">
        <v>566058457.48000002</v>
      </c>
      <c r="Y74" s="710">
        <v>567439371.40999997</v>
      </c>
      <c r="Z74" s="710">
        <v>793912615.48000002</v>
      </c>
      <c r="AA74" s="710">
        <v>0</v>
      </c>
      <c r="AB74" s="710">
        <v>46812976.923377901</v>
      </c>
      <c r="AC74" s="710">
        <v>84236436.670000002</v>
      </c>
      <c r="AD74" s="710">
        <v>0</v>
      </c>
      <c r="AE74" s="710">
        <v>1644965387.1799998</v>
      </c>
      <c r="AF74" s="710">
        <v>3134688973.6099997</v>
      </c>
      <c r="AG74" s="710">
        <v>2824946076.8199997</v>
      </c>
      <c r="AH74" s="710">
        <v>0</v>
      </c>
      <c r="AI74" s="710">
        <v>1639934229.407145</v>
      </c>
      <c r="AJ74" s="710">
        <v>2126784604.45</v>
      </c>
      <c r="AK74" s="710">
        <v>1504393967.46</v>
      </c>
      <c r="AL74" s="710">
        <v>2004375323.74</v>
      </c>
      <c r="AM74" s="711">
        <v>1235396139.5109313</v>
      </c>
      <c r="AN74" s="710">
        <v>366261656.56686276</v>
      </c>
      <c r="AO74" s="710">
        <v>229199895.53999999</v>
      </c>
      <c r="AP74" s="710">
        <v>0</v>
      </c>
      <c r="AQ74" s="710">
        <v>0</v>
      </c>
      <c r="AR74" s="710">
        <v>0</v>
      </c>
      <c r="AS74" s="710">
        <v>0</v>
      </c>
      <c r="AT74" s="710">
        <v>669867093.36000001</v>
      </c>
      <c r="AU74" s="710">
        <v>1380634465.9400001</v>
      </c>
      <c r="AV74" s="710">
        <v>1746904587.5</v>
      </c>
      <c r="AW74" s="710">
        <v>4054118841.0100002</v>
      </c>
      <c r="AX74" s="710">
        <v>3167536481.9300003</v>
      </c>
      <c r="AY74" s="711">
        <v>4890008261.3400002</v>
      </c>
      <c r="AZ74" s="710">
        <v>3414114715.6100001</v>
      </c>
      <c r="BA74" s="710">
        <v>5586439615.2200003</v>
      </c>
      <c r="BB74" s="710">
        <v>4937073639.1899996</v>
      </c>
      <c r="BC74" s="710">
        <v>4545887867.6400003</v>
      </c>
      <c r="BD74" s="710">
        <v>3832520339.2199998</v>
      </c>
      <c r="BE74" s="710">
        <v>2357040041.79</v>
      </c>
      <c r="BF74" s="711">
        <v>1481162974.5999999</v>
      </c>
      <c r="BG74" s="710">
        <v>3905926603.52</v>
      </c>
      <c r="BH74" s="711">
        <v>4202255879.7000003</v>
      </c>
      <c r="BI74" s="710">
        <v>5305694881.0100002</v>
      </c>
      <c r="BJ74" s="746">
        <v>4861809876.3400002</v>
      </c>
    </row>
    <row r="75" spans="1:62">
      <c r="A75" s="1232"/>
      <c r="B75" s="744" t="s">
        <v>655</v>
      </c>
      <c r="C75" s="745">
        <v>0</v>
      </c>
      <c r="D75" s="710">
        <v>0</v>
      </c>
      <c r="E75" s="710">
        <v>0</v>
      </c>
      <c r="F75" s="710">
        <v>0</v>
      </c>
      <c r="G75" s="710">
        <v>0</v>
      </c>
      <c r="H75" s="710">
        <v>343959408.37</v>
      </c>
      <c r="I75" s="710">
        <v>0</v>
      </c>
      <c r="J75" s="710">
        <v>0</v>
      </c>
      <c r="K75" s="710">
        <v>480821788.85000002</v>
      </c>
      <c r="L75" s="710">
        <v>264013091.56999999</v>
      </c>
      <c r="M75" s="710">
        <v>917375580.14999998</v>
      </c>
      <c r="N75" s="710">
        <v>865421335.47000003</v>
      </c>
      <c r="O75" s="710">
        <v>41238549.549999997</v>
      </c>
      <c r="P75" s="710">
        <v>1329962621.54</v>
      </c>
      <c r="Q75" s="710">
        <v>1371893890.6500001</v>
      </c>
      <c r="R75" s="710">
        <v>1328250816.9000001</v>
      </c>
      <c r="S75" s="710">
        <v>550985404.54999995</v>
      </c>
      <c r="T75" s="710">
        <v>551166719.04999995</v>
      </c>
      <c r="U75" s="710">
        <v>1244631968.48</v>
      </c>
      <c r="V75" s="710">
        <v>1068734922.54</v>
      </c>
      <c r="W75" s="710">
        <v>311198556.97000003</v>
      </c>
      <c r="X75" s="710">
        <v>443930279.29999995</v>
      </c>
      <c r="Y75" s="710">
        <v>996340396.25999999</v>
      </c>
      <c r="Z75" s="710">
        <v>1196163021.9000001</v>
      </c>
      <c r="AA75" s="710">
        <v>0</v>
      </c>
      <c r="AB75" s="710">
        <v>0</v>
      </c>
      <c r="AC75" s="710">
        <v>1079819831.8899999</v>
      </c>
      <c r="AD75" s="710">
        <v>0</v>
      </c>
      <c r="AE75" s="710">
        <v>485520498.88999999</v>
      </c>
      <c r="AF75" s="710">
        <v>931220440.28999996</v>
      </c>
      <c r="AG75" s="710">
        <v>1004862853.7008982</v>
      </c>
      <c r="AH75" s="710">
        <v>1062705705.6</v>
      </c>
      <c r="AI75" s="710">
        <v>814307663.46074986</v>
      </c>
      <c r="AJ75" s="710">
        <v>419508543.31</v>
      </c>
      <c r="AK75" s="710">
        <v>788924689.8499999</v>
      </c>
      <c r="AL75" s="710">
        <v>711804328.57000005</v>
      </c>
      <c r="AM75" s="711">
        <v>422795178.479146</v>
      </c>
      <c r="AN75" s="710">
        <v>290150204.88236767</v>
      </c>
      <c r="AO75" s="710">
        <v>0</v>
      </c>
      <c r="AP75" s="710">
        <v>0</v>
      </c>
      <c r="AQ75" s="710">
        <v>0</v>
      </c>
      <c r="AR75" s="710">
        <v>0</v>
      </c>
      <c r="AS75" s="710">
        <v>2279787836.9400001</v>
      </c>
      <c r="AT75" s="710">
        <v>927030499.87999988</v>
      </c>
      <c r="AU75" s="710">
        <v>1563147006.8600001</v>
      </c>
      <c r="AV75" s="710">
        <v>414737691.88</v>
      </c>
      <c r="AW75" s="710">
        <v>1908967459.9699998</v>
      </c>
      <c r="AX75" s="710">
        <v>1910120745.2600002</v>
      </c>
      <c r="AY75" s="711">
        <v>1912549847.7</v>
      </c>
      <c r="AZ75" s="710">
        <v>1110297831.24</v>
      </c>
      <c r="BA75" s="710">
        <v>1221833936.6399999</v>
      </c>
      <c r="BB75" s="710">
        <v>3711351095.0300002</v>
      </c>
      <c r="BC75" s="710">
        <v>2978382292.8900003</v>
      </c>
      <c r="BD75" s="710">
        <v>618834155.42000008</v>
      </c>
      <c r="BE75" s="710">
        <v>1117020987.9400001</v>
      </c>
      <c r="BF75" s="711">
        <v>1140009837.52</v>
      </c>
      <c r="BG75" s="710">
        <v>1549381303.6300001</v>
      </c>
      <c r="BH75" s="711">
        <v>1903770919.79</v>
      </c>
      <c r="BI75" s="710">
        <v>0</v>
      </c>
      <c r="BJ75" s="746">
        <v>1875044480.25</v>
      </c>
    </row>
    <row r="76" spans="1:62">
      <c r="A76" s="1232"/>
      <c r="B76" s="744" t="s">
        <v>656</v>
      </c>
      <c r="C76" s="745">
        <v>0</v>
      </c>
      <c r="D76" s="710">
        <v>0</v>
      </c>
      <c r="E76" s="710">
        <v>1086287524.75</v>
      </c>
      <c r="F76" s="710">
        <v>0</v>
      </c>
      <c r="G76" s="710">
        <v>0</v>
      </c>
      <c r="H76" s="710">
        <v>0</v>
      </c>
      <c r="I76" s="710">
        <v>0</v>
      </c>
      <c r="J76" s="710">
        <v>0</v>
      </c>
      <c r="K76" s="710">
        <v>0</v>
      </c>
      <c r="L76" s="710">
        <v>0</v>
      </c>
      <c r="M76" s="710">
        <v>0</v>
      </c>
      <c r="N76" s="710">
        <v>0</v>
      </c>
      <c r="O76" s="710">
        <v>0</v>
      </c>
      <c r="P76" s="710">
        <v>0</v>
      </c>
      <c r="Q76" s="710">
        <v>0</v>
      </c>
      <c r="R76" s="710">
        <v>0</v>
      </c>
      <c r="S76" s="710">
        <v>0</v>
      </c>
      <c r="T76" s="710">
        <v>0</v>
      </c>
      <c r="U76" s="710">
        <v>0</v>
      </c>
      <c r="V76" s="710">
        <v>0</v>
      </c>
      <c r="W76" s="710">
        <v>0</v>
      </c>
      <c r="X76" s="710">
        <v>0</v>
      </c>
      <c r="Y76" s="710">
        <v>0</v>
      </c>
      <c r="Z76" s="710">
        <v>0</v>
      </c>
      <c r="AA76" s="710">
        <v>0</v>
      </c>
      <c r="AB76" s="710">
        <v>0</v>
      </c>
      <c r="AC76" s="710">
        <v>0</v>
      </c>
      <c r="AD76" s="710">
        <v>0</v>
      </c>
      <c r="AE76" s="710">
        <v>0</v>
      </c>
      <c r="AF76" s="710">
        <v>0</v>
      </c>
      <c r="AG76" s="710">
        <v>0</v>
      </c>
      <c r="AH76" s="710">
        <v>0</v>
      </c>
      <c r="AI76" s="710">
        <v>0</v>
      </c>
      <c r="AJ76" s="710">
        <v>0</v>
      </c>
      <c r="AK76" s="710">
        <v>0</v>
      </c>
      <c r="AL76" s="710">
        <v>0</v>
      </c>
      <c r="AM76" s="711">
        <v>0</v>
      </c>
      <c r="AN76" s="710">
        <v>0</v>
      </c>
      <c r="AO76" s="710">
        <v>0</v>
      </c>
      <c r="AP76" s="710">
        <v>0</v>
      </c>
      <c r="AQ76" s="710">
        <v>0</v>
      </c>
      <c r="AR76" s="710">
        <v>0</v>
      </c>
      <c r="AS76" s="710">
        <v>0</v>
      </c>
      <c r="AT76" s="710">
        <v>0</v>
      </c>
      <c r="AU76" s="710">
        <v>0</v>
      </c>
      <c r="AV76" s="710">
        <v>0</v>
      </c>
      <c r="AW76" s="710">
        <v>0</v>
      </c>
      <c r="AX76" s="710">
        <v>0</v>
      </c>
      <c r="AY76" s="711">
        <v>0</v>
      </c>
      <c r="AZ76" s="710">
        <v>0</v>
      </c>
      <c r="BA76" s="710">
        <v>0</v>
      </c>
      <c r="BB76" s="710">
        <v>0</v>
      </c>
      <c r="BC76" s="710">
        <v>0</v>
      </c>
      <c r="BD76" s="710">
        <v>0</v>
      </c>
      <c r="BE76" s="710">
        <v>0</v>
      </c>
      <c r="BF76" s="711">
        <v>0</v>
      </c>
      <c r="BG76" s="710">
        <v>0</v>
      </c>
      <c r="BH76" s="711">
        <v>0</v>
      </c>
      <c r="BI76" s="710">
        <v>0</v>
      </c>
      <c r="BJ76" s="746">
        <v>0</v>
      </c>
    </row>
    <row r="77" spans="1:62">
      <c r="A77" s="1232"/>
      <c r="B77" s="744" t="s">
        <v>657</v>
      </c>
      <c r="C77" s="745">
        <v>892181220.34000003</v>
      </c>
      <c r="D77" s="710">
        <v>240101167.66999999</v>
      </c>
      <c r="E77" s="710">
        <v>0</v>
      </c>
      <c r="F77" s="710">
        <v>0</v>
      </c>
      <c r="G77" s="710">
        <v>9961309.6300000008</v>
      </c>
      <c r="H77" s="710">
        <v>0</v>
      </c>
      <c r="I77" s="710">
        <v>38822103.700000003</v>
      </c>
      <c r="J77" s="710">
        <v>85305958.700000003</v>
      </c>
      <c r="K77" s="710">
        <v>0</v>
      </c>
      <c r="L77" s="710">
        <v>86080183.789999992</v>
      </c>
      <c r="M77" s="710">
        <v>250448101.89999998</v>
      </c>
      <c r="N77" s="710">
        <v>116679144.22</v>
      </c>
      <c r="O77" s="710">
        <v>226049152.81</v>
      </c>
      <c r="P77" s="710">
        <v>282925445.69</v>
      </c>
      <c r="Q77" s="710">
        <v>139572282.32307458</v>
      </c>
      <c r="R77" s="710">
        <v>204508058.96000013</v>
      </c>
      <c r="S77" s="710">
        <v>436193121.75</v>
      </c>
      <c r="T77" s="710">
        <v>763025394.79999995</v>
      </c>
      <c r="U77" s="710">
        <v>748781800.51999998</v>
      </c>
      <c r="V77" s="710">
        <v>500123627.22000003</v>
      </c>
      <c r="W77" s="710">
        <v>315256879.80000001</v>
      </c>
      <c r="X77" s="710">
        <v>143955014.98000002</v>
      </c>
      <c r="Y77" s="710">
        <v>634293576.13999999</v>
      </c>
      <c r="Z77" s="710">
        <v>862020289.29999995</v>
      </c>
      <c r="AA77" s="710">
        <v>940987236.5</v>
      </c>
      <c r="AB77" s="710">
        <v>194939932.30161992</v>
      </c>
      <c r="AC77" s="710">
        <v>93500726.75</v>
      </c>
      <c r="AD77" s="710">
        <v>156334818.49000001</v>
      </c>
      <c r="AE77" s="710">
        <v>360789543.82999998</v>
      </c>
      <c r="AF77" s="710">
        <v>321114528.38</v>
      </c>
      <c r="AG77" s="710">
        <v>255498718.84999999</v>
      </c>
      <c r="AH77" s="710">
        <v>692866159.98000002</v>
      </c>
      <c r="AI77" s="710">
        <v>1422391645.45</v>
      </c>
      <c r="AJ77" s="710">
        <v>1471468606.8800001</v>
      </c>
      <c r="AK77" s="710">
        <v>1547380882.0800002</v>
      </c>
      <c r="AL77" s="710">
        <v>1610226381.24</v>
      </c>
      <c r="AM77" s="711">
        <v>1991867666.1201391</v>
      </c>
      <c r="AN77" s="710">
        <v>2188652927.8899999</v>
      </c>
      <c r="AO77" s="710">
        <v>1707024233.4100001</v>
      </c>
      <c r="AP77" s="710">
        <v>3082202050.9000001</v>
      </c>
      <c r="AQ77" s="710">
        <v>3559265043.5299997</v>
      </c>
      <c r="AR77" s="710">
        <v>2731078101.0900002</v>
      </c>
      <c r="AS77" s="710">
        <v>3347563148.1735826</v>
      </c>
      <c r="AT77" s="710">
        <v>1825375058.0570164</v>
      </c>
      <c r="AU77" s="710">
        <v>1941703061.3433106</v>
      </c>
      <c r="AV77" s="710">
        <v>2469510354.1700001</v>
      </c>
      <c r="AW77" s="710">
        <v>716076590.70000005</v>
      </c>
      <c r="AX77" s="710">
        <v>707657778.06999993</v>
      </c>
      <c r="AY77" s="711">
        <v>1142581440.3400002</v>
      </c>
      <c r="AZ77" s="710">
        <v>1049420028.08</v>
      </c>
      <c r="BA77" s="710">
        <v>1928425472.8</v>
      </c>
      <c r="BB77" s="710">
        <v>1086125361.8299999</v>
      </c>
      <c r="BC77" s="710">
        <v>860975071.71000004</v>
      </c>
      <c r="BD77" s="710">
        <v>1323116152.75</v>
      </c>
      <c r="BE77" s="710">
        <v>602945334.83000004</v>
      </c>
      <c r="BF77" s="711">
        <v>0</v>
      </c>
      <c r="BG77" s="710">
        <v>0</v>
      </c>
      <c r="BH77" s="711">
        <v>0</v>
      </c>
      <c r="BI77" s="710">
        <v>285862718.07999998</v>
      </c>
      <c r="BJ77" s="746">
        <v>0</v>
      </c>
    </row>
    <row r="78" spans="1:62">
      <c r="A78" s="1232"/>
      <c r="B78" s="744" t="s">
        <v>658</v>
      </c>
      <c r="C78" s="745">
        <v>1205266509.74</v>
      </c>
      <c r="D78" s="710">
        <v>2225323568.1700001</v>
      </c>
      <c r="E78" s="710">
        <v>2251385614.6199999</v>
      </c>
      <c r="F78" s="710">
        <v>2020638701.48</v>
      </c>
      <c r="G78" s="710">
        <v>22534028.16</v>
      </c>
      <c r="H78" s="710">
        <v>0</v>
      </c>
      <c r="I78" s="710">
        <v>896588289.13999999</v>
      </c>
      <c r="J78" s="710">
        <v>1973955849.73</v>
      </c>
      <c r="K78" s="710">
        <v>255298765.11000001</v>
      </c>
      <c r="L78" s="710">
        <v>1536369083.1399999</v>
      </c>
      <c r="M78" s="710">
        <v>1219610178.1399999</v>
      </c>
      <c r="N78" s="710">
        <v>2369385405.7800002</v>
      </c>
      <c r="O78" s="710">
        <v>3117616555.79</v>
      </c>
      <c r="P78" s="710">
        <v>2310396509.1578622</v>
      </c>
      <c r="Q78" s="710">
        <v>2197456061.3316374</v>
      </c>
      <c r="R78" s="710">
        <v>2173527706.0583901</v>
      </c>
      <c r="S78" s="710">
        <v>2948687708.9984255</v>
      </c>
      <c r="T78" s="710">
        <v>2524477713.9097347</v>
      </c>
      <c r="U78" s="710">
        <v>2531838862.2457786</v>
      </c>
      <c r="V78" s="710">
        <v>2657160457.7401018</v>
      </c>
      <c r="W78" s="710">
        <v>2017225996.7069314</v>
      </c>
      <c r="X78" s="710">
        <v>1899802741.0022144</v>
      </c>
      <c r="Y78" s="710">
        <v>1451184330.9631209</v>
      </c>
      <c r="Z78" s="710">
        <v>407524491.92984128</v>
      </c>
      <c r="AA78" s="710">
        <v>188428403.50032479</v>
      </c>
      <c r="AB78" s="710">
        <v>0</v>
      </c>
      <c r="AC78" s="710">
        <v>0</v>
      </c>
      <c r="AD78" s="710">
        <v>302069402.15692776</v>
      </c>
      <c r="AE78" s="710">
        <v>2119237949.7670832</v>
      </c>
      <c r="AF78" s="710">
        <v>1311757417.0859971</v>
      </c>
      <c r="AG78" s="710">
        <v>3575871239.6124077</v>
      </c>
      <c r="AH78" s="710">
        <v>2984672771.7973814</v>
      </c>
      <c r="AI78" s="710">
        <v>1690345311.4376125</v>
      </c>
      <c r="AJ78" s="710">
        <v>3825122895.4300003</v>
      </c>
      <c r="AK78" s="710">
        <v>3969808866.9200001</v>
      </c>
      <c r="AL78" s="710">
        <v>3265721286.5090437</v>
      </c>
      <c r="AM78" s="711">
        <v>6159451632.1998835</v>
      </c>
      <c r="AN78" s="710">
        <v>579520575.06206512</v>
      </c>
      <c r="AO78" s="710">
        <v>309948447.86306387</v>
      </c>
      <c r="AP78" s="710">
        <v>0</v>
      </c>
      <c r="AQ78" s="710">
        <v>7548924194.5</v>
      </c>
      <c r="AR78" s="710">
        <v>4473827775.1099997</v>
      </c>
      <c r="AS78" s="710">
        <v>6753916872.1800003</v>
      </c>
      <c r="AT78" s="710">
        <v>6512439987.9200001</v>
      </c>
      <c r="AU78" s="710">
        <v>4201327294.0100002</v>
      </c>
      <c r="AV78" s="710">
        <v>4121499384.3699999</v>
      </c>
      <c r="AW78" s="710">
        <v>2305618558.3200002</v>
      </c>
      <c r="AX78" s="710">
        <v>1543342667.04</v>
      </c>
      <c r="AY78" s="711">
        <v>3429305941.1999998</v>
      </c>
      <c r="AZ78" s="710">
        <v>4395289868.5500002</v>
      </c>
      <c r="BA78" s="710">
        <v>2881411694.7799997</v>
      </c>
      <c r="BB78" s="710">
        <v>3132166800.4099998</v>
      </c>
      <c r="BC78" s="710">
        <v>1533371989.1199999</v>
      </c>
      <c r="BD78" s="710">
        <v>59694272.019999996</v>
      </c>
      <c r="BE78" s="710">
        <v>395050167.11000001</v>
      </c>
      <c r="BF78" s="711">
        <v>0</v>
      </c>
      <c r="BG78" s="710">
        <v>2912591495.8463869</v>
      </c>
      <c r="BH78" s="711">
        <v>3694316094.9399996</v>
      </c>
      <c r="BI78" s="710">
        <v>5133330126.3400002</v>
      </c>
      <c r="BJ78" s="746">
        <v>2113647811.4099998</v>
      </c>
    </row>
    <row r="79" spans="1:62">
      <c r="A79" s="1232"/>
      <c r="B79" s="744" t="s">
        <v>659</v>
      </c>
      <c r="C79" s="745">
        <v>1523851121.1400001</v>
      </c>
      <c r="D79" s="710">
        <v>1162472323.29</v>
      </c>
      <c r="E79" s="710">
        <v>883884555.82999992</v>
      </c>
      <c r="F79" s="710">
        <v>1057026330.65</v>
      </c>
      <c r="G79" s="710">
        <v>848219971</v>
      </c>
      <c r="H79" s="710">
        <v>877345476.91000009</v>
      </c>
      <c r="I79" s="710">
        <v>1215915953.4299998</v>
      </c>
      <c r="J79" s="710">
        <v>853411013.34000003</v>
      </c>
      <c r="K79" s="710">
        <v>309043476.61000001</v>
      </c>
      <c r="L79" s="710">
        <v>1113985096.1399999</v>
      </c>
      <c r="M79" s="710">
        <v>868014544.57999992</v>
      </c>
      <c r="N79" s="710">
        <v>1026645985.52</v>
      </c>
      <c r="O79" s="710">
        <v>1817104383.03</v>
      </c>
      <c r="P79" s="710">
        <v>1380288087.7658179</v>
      </c>
      <c r="Q79" s="710">
        <v>1539996218.2727766</v>
      </c>
      <c r="R79" s="710">
        <v>1505403805.4512169</v>
      </c>
      <c r="S79" s="710">
        <v>393927163.44451773</v>
      </c>
      <c r="T79" s="710">
        <v>464750098.16010344</v>
      </c>
      <c r="U79" s="710">
        <v>654537522.38190258</v>
      </c>
      <c r="V79" s="710">
        <v>1228849946.1591549</v>
      </c>
      <c r="W79" s="710">
        <v>1094849364.7681139</v>
      </c>
      <c r="X79" s="710">
        <v>539952736.72430968</v>
      </c>
      <c r="Y79" s="710">
        <v>1144291720.9165211</v>
      </c>
      <c r="Z79" s="710">
        <v>888511478.5974561</v>
      </c>
      <c r="AA79" s="710">
        <v>313380720.05453306</v>
      </c>
      <c r="AB79" s="710">
        <v>1031419136.6855559</v>
      </c>
      <c r="AC79" s="710">
        <v>671981243.29999995</v>
      </c>
      <c r="AD79" s="710">
        <v>142540529.11809123</v>
      </c>
      <c r="AE79" s="710">
        <v>227462931.55850998</v>
      </c>
      <c r="AF79" s="710">
        <v>747800511.49534678</v>
      </c>
      <c r="AG79" s="710">
        <v>80997416.987705827</v>
      </c>
      <c r="AH79" s="710">
        <v>925289636.48947644</v>
      </c>
      <c r="AI79" s="710">
        <v>926825968.08771527</v>
      </c>
      <c r="AJ79" s="710">
        <v>795780839.6500001</v>
      </c>
      <c r="AK79" s="710">
        <v>526667905.04999995</v>
      </c>
      <c r="AL79" s="710">
        <v>1368228408.4432697</v>
      </c>
      <c r="AM79" s="711">
        <v>2524921358.7066298</v>
      </c>
      <c r="AN79" s="710">
        <v>1653791934.3354487</v>
      </c>
      <c r="AO79" s="710">
        <v>1864950737.3160415</v>
      </c>
      <c r="AP79" s="710">
        <v>1755084910.3200002</v>
      </c>
      <c r="AQ79" s="710">
        <v>1132577571.24</v>
      </c>
      <c r="AR79" s="710">
        <v>1084595718.8800001</v>
      </c>
      <c r="AS79" s="710">
        <v>118883264.00999999</v>
      </c>
      <c r="AT79" s="710">
        <v>0</v>
      </c>
      <c r="AU79" s="710">
        <v>220682212.93000001</v>
      </c>
      <c r="AV79" s="710">
        <v>0</v>
      </c>
      <c r="AW79" s="710">
        <v>0</v>
      </c>
      <c r="AX79" s="710">
        <v>36990669.350000001</v>
      </c>
      <c r="AY79" s="711">
        <v>200750015.22</v>
      </c>
      <c r="AZ79" s="710">
        <v>478341571.65999997</v>
      </c>
      <c r="BA79" s="710">
        <v>307856925.06</v>
      </c>
      <c r="BB79" s="710">
        <v>247582939.38</v>
      </c>
      <c r="BC79" s="710">
        <v>203205023.01999998</v>
      </c>
      <c r="BD79" s="710">
        <v>571843601.35000002</v>
      </c>
      <c r="BE79" s="710">
        <v>479024357.38999999</v>
      </c>
      <c r="BF79" s="711">
        <v>436302125.46000004</v>
      </c>
      <c r="BG79" s="710">
        <v>503513323.38999999</v>
      </c>
      <c r="BH79" s="711">
        <v>447556873.15999997</v>
      </c>
      <c r="BI79" s="710">
        <v>316784676.37</v>
      </c>
      <c r="BJ79" s="746">
        <v>345068559.81</v>
      </c>
    </row>
    <row r="80" spans="1:62">
      <c r="A80" s="1232"/>
      <c r="B80" s="744" t="s">
        <v>660</v>
      </c>
      <c r="C80" s="745">
        <v>510553639.75999999</v>
      </c>
      <c r="D80" s="710">
        <v>504428145.75999999</v>
      </c>
      <c r="E80" s="710">
        <v>571262541.78999996</v>
      </c>
      <c r="F80" s="710">
        <v>565777977.07000005</v>
      </c>
      <c r="G80" s="710">
        <v>612410429.05999994</v>
      </c>
      <c r="H80" s="710">
        <v>596024473.53999996</v>
      </c>
      <c r="I80" s="710">
        <v>693705291.54999995</v>
      </c>
      <c r="J80" s="710">
        <v>718926402.0999999</v>
      </c>
      <c r="K80" s="710">
        <v>693107592.16000009</v>
      </c>
      <c r="L80" s="710">
        <v>727359523.39999998</v>
      </c>
      <c r="M80" s="710">
        <v>768030644.21000004</v>
      </c>
      <c r="N80" s="710">
        <v>817896894.00999999</v>
      </c>
      <c r="O80" s="710">
        <v>1134437787.24</v>
      </c>
      <c r="P80" s="710">
        <v>627584450.71005487</v>
      </c>
      <c r="Q80" s="710">
        <v>634400012.25453186</v>
      </c>
      <c r="R80" s="710">
        <v>706477474.19550455</v>
      </c>
      <c r="S80" s="710">
        <v>785938633.34621072</v>
      </c>
      <c r="T80" s="710">
        <v>770894187.39661002</v>
      </c>
      <c r="U80" s="710">
        <v>789481527.17167974</v>
      </c>
      <c r="V80" s="710">
        <v>776018401.48719501</v>
      </c>
      <c r="W80" s="710">
        <v>684983232.40821624</v>
      </c>
      <c r="X80" s="710">
        <v>845902254.24194241</v>
      </c>
      <c r="Y80" s="710">
        <v>919760606.2721386</v>
      </c>
      <c r="Z80" s="710">
        <v>772813782.62149978</v>
      </c>
      <c r="AA80" s="710">
        <v>811242416.57401013</v>
      </c>
      <c r="AB80" s="710">
        <v>744567121.41047716</v>
      </c>
      <c r="AC80" s="710">
        <v>948773181.25999999</v>
      </c>
      <c r="AD80" s="710">
        <v>815108496.0098474</v>
      </c>
      <c r="AE80" s="710">
        <v>712087386.83201194</v>
      </c>
      <c r="AF80" s="710">
        <v>712921197.40862</v>
      </c>
      <c r="AG80" s="710">
        <v>1541414104.8584194</v>
      </c>
      <c r="AH80" s="710">
        <v>2136719026.1786215</v>
      </c>
      <c r="AI80" s="710">
        <v>1762608609.7130458</v>
      </c>
      <c r="AJ80" s="710">
        <v>1813611263.9000001</v>
      </c>
      <c r="AK80" s="710">
        <v>1808008647.21</v>
      </c>
      <c r="AL80" s="710">
        <v>1833987947.3664958</v>
      </c>
      <c r="AM80" s="711">
        <v>2707378195.6789193</v>
      </c>
      <c r="AN80" s="710">
        <v>2981438704.8365631</v>
      </c>
      <c r="AO80" s="710">
        <v>3381877423.2722087</v>
      </c>
      <c r="AP80" s="710">
        <v>2835938429.46</v>
      </c>
      <c r="AQ80" s="710">
        <v>3206139606.8800001</v>
      </c>
      <c r="AR80" s="710">
        <v>1912590079.9000001</v>
      </c>
      <c r="AS80" s="710">
        <v>3662427359.4700003</v>
      </c>
      <c r="AT80" s="710">
        <v>3442420215.0599999</v>
      </c>
      <c r="AU80" s="710">
        <v>2740130819.3800001</v>
      </c>
      <c r="AV80" s="710">
        <v>2155783996.1900001</v>
      </c>
      <c r="AW80" s="710">
        <v>2083951617.6900001</v>
      </c>
      <c r="AX80" s="710">
        <v>2023677077.6300001</v>
      </c>
      <c r="AY80" s="711">
        <v>2469320696.3699999</v>
      </c>
      <c r="AZ80" s="710">
        <v>800058819.47000003</v>
      </c>
      <c r="BA80" s="710">
        <v>1779911156.2</v>
      </c>
      <c r="BB80" s="710">
        <v>458108992.69999999</v>
      </c>
      <c r="BC80" s="710">
        <v>918932237.53999996</v>
      </c>
      <c r="BD80" s="710">
        <v>756030762.19000006</v>
      </c>
      <c r="BE80" s="710">
        <v>1778714602.1399999</v>
      </c>
      <c r="BF80" s="711">
        <v>1400839787.1500001</v>
      </c>
      <c r="BG80" s="710">
        <v>1544812903.1853712</v>
      </c>
      <c r="BH80" s="711">
        <v>1440709667.3600001</v>
      </c>
      <c r="BI80" s="710">
        <v>1366345649.03</v>
      </c>
      <c r="BJ80" s="746">
        <v>982960102.71000004</v>
      </c>
    </row>
    <row r="81" spans="1:62">
      <c r="A81" s="1232"/>
      <c r="B81" s="744" t="s">
        <v>661</v>
      </c>
      <c r="C81" s="745">
        <v>0</v>
      </c>
      <c r="D81" s="710">
        <v>0</v>
      </c>
      <c r="E81" s="710">
        <v>0</v>
      </c>
      <c r="F81" s="710">
        <v>0</v>
      </c>
      <c r="G81" s="710">
        <v>0</v>
      </c>
      <c r="H81" s="710">
        <v>0</v>
      </c>
      <c r="I81" s="710">
        <v>0</v>
      </c>
      <c r="J81" s="710">
        <v>0</v>
      </c>
      <c r="K81" s="710">
        <v>0</v>
      </c>
      <c r="L81" s="710">
        <v>0</v>
      </c>
      <c r="M81" s="710">
        <v>0</v>
      </c>
      <c r="N81" s="710">
        <v>113751162.36123399</v>
      </c>
      <c r="O81" s="710">
        <v>590217423.89454556</v>
      </c>
      <c r="P81" s="710">
        <v>528089015.17823839</v>
      </c>
      <c r="Q81" s="710">
        <v>553914029.02209985</v>
      </c>
      <c r="R81" s="710">
        <v>260529481.44213998</v>
      </c>
      <c r="S81" s="710">
        <v>251070915.22116309</v>
      </c>
      <c r="T81" s="710">
        <v>237696768.14717343</v>
      </c>
      <c r="U81" s="710">
        <v>179915643.50760004</v>
      </c>
      <c r="V81" s="710">
        <v>219827050.33487964</v>
      </c>
      <c r="W81" s="710">
        <v>504768952.9841851</v>
      </c>
      <c r="X81" s="710">
        <v>589350755.73548901</v>
      </c>
      <c r="Y81" s="710">
        <v>618799976.76971853</v>
      </c>
      <c r="Z81" s="710">
        <v>609942352.05416584</v>
      </c>
      <c r="AA81" s="710">
        <v>538261943.67372823</v>
      </c>
      <c r="AB81" s="710">
        <v>222026837.3148042</v>
      </c>
      <c r="AC81" s="710">
        <v>236798304.53259805</v>
      </c>
      <c r="AD81" s="710">
        <v>65410775.006563611</v>
      </c>
      <c r="AE81" s="710">
        <v>75575081.227445051</v>
      </c>
      <c r="AF81" s="710">
        <v>112495142.31783475</v>
      </c>
      <c r="AG81" s="710">
        <v>285927746.02999997</v>
      </c>
      <c r="AH81" s="710">
        <v>583211922.14999998</v>
      </c>
      <c r="AI81" s="710">
        <v>895098035.25</v>
      </c>
      <c r="AJ81" s="710">
        <v>1110460430.8399999</v>
      </c>
      <c r="AK81" s="710">
        <v>1121660693.2199998</v>
      </c>
      <c r="AL81" s="710">
        <v>922413635.47419763</v>
      </c>
      <c r="AM81" s="711">
        <v>1790201138.6499999</v>
      </c>
      <c r="AN81" s="710">
        <v>1179623048</v>
      </c>
      <c r="AO81" s="710">
        <v>524344235.94</v>
      </c>
      <c r="AP81" s="710">
        <v>73164019.219999999</v>
      </c>
      <c r="AQ81" s="710">
        <v>0</v>
      </c>
      <c r="AR81" s="710">
        <v>809818848.87</v>
      </c>
      <c r="AS81" s="710">
        <v>1461511760.5899999</v>
      </c>
      <c r="AT81" s="710">
        <v>1931651610.46</v>
      </c>
      <c r="AU81" s="710">
        <v>1956357211.25</v>
      </c>
      <c r="AV81" s="710">
        <v>1327349641</v>
      </c>
      <c r="AW81" s="710">
        <v>1704715189.01</v>
      </c>
      <c r="AX81" s="710">
        <v>1204575618.76</v>
      </c>
      <c r="AY81" s="711">
        <v>813421564.55379999</v>
      </c>
      <c r="AZ81" s="710">
        <v>697819621.41963112</v>
      </c>
      <c r="BA81" s="710">
        <v>816624675.49936688</v>
      </c>
      <c r="BB81" s="710">
        <v>851398228.26594174</v>
      </c>
      <c r="BC81" s="710">
        <v>814994887.98162329</v>
      </c>
      <c r="BD81" s="710">
        <v>804863725.67416811</v>
      </c>
      <c r="BE81" s="710">
        <v>1463952922.4270577</v>
      </c>
      <c r="BF81" s="711">
        <v>1518159618.2272482</v>
      </c>
      <c r="BG81" s="710">
        <v>1514353228.7224526</v>
      </c>
      <c r="BH81" s="711">
        <v>0</v>
      </c>
      <c r="BI81" s="710">
        <v>0</v>
      </c>
      <c r="BJ81" s="746">
        <v>0</v>
      </c>
    </row>
    <row r="82" spans="1:62" s="752" customFormat="1">
      <c r="A82" s="1232"/>
      <c r="B82" s="747" t="s">
        <v>662</v>
      </c>
      <c r="C82" s="748">
        <v>12180555445.110001</v>
      </c>
      <c r="D82" s="749">
        <v>11058143360.65</v>
      </c>
      <c r="E82" s="749">
        <v>8515276913.4400005</v>
      </c>
      <c r="F82" s="749">
        <v>9690083229.1999989</v>
      </c>
      <c r="G82" s="749">
        <v>14469041867</v>
      </c>
      <c r="H82" s="749">
        <v>12560680730.206898</v>
      </c>
      <c r="I82" s="749">
        <v>13716444623.85</v>
      </c>
      <c r="J82" s="749">
        <v>13567568185.051098</v>
      </c>
      <c r="K82" s="749">
        <v>13027327597.278</v>
      </c>
      <c r="L82" s="749">
        <v>14828282649.908398</v>
      </c>
      <c r="M82" s="749">
        <v>12166820539.587502</v>
      </c>
      <c r="N82" s="749">
        <v>7945020033.5457001</v>
      </c>
      <c r="O82" s="749">
        <v>7651807942.9028988</v>
      </c>
      <c r="P82" s="749">
        <v>11483295500.495201</v>
      </c>
      <c r="Q82" s="749">
        <v>13866666303.029802</v>
      </c>
      <c r="R82" s="749">
        <v>13027636155.5308</v>
      </c>
      <c r="S82" s="749">
        <v>12671006107.852497</v>
      </c>
      <c r="T82" s="749">
        <v>13412106604.942501</v>
      </c>
      <c r="U82" s="749">
        <v>14140895255.047598</v>
      </c>
      <c r="V82" s="749">
        <v>14413709657.857101</v>
      </c>
      <c r="W82" s="749">
        <v>14340985527.2092</v>
      </c>
      <c r="X82" s="749">
        <v>14496422468.602501</v>
      </c>
      <c r="Y82" s="749">
        <v>15164661206.627701</v>
      </c>
      <c r="Z82" s="749">
        <v>15831705587.905201</v>
      </c>
      <c r="AA82" s="749">
        <v>15241607249.257601</v>
      </c>
      <c r="AB82" s="749">
        <v>14370042588.743999</v>
      </c>
      <c r="AC82" s="749">
        <v>16975510274.349201</v>
      </c>
      <c r="AD82" s="749">
        <v>13634323400.697399</v>
      </c>
      <c r="AE82" s="749">
        <v>17833779082.682598</v>
      </c>
      <c r="AF82" s="749">
        <v>18379363179.719959</v>
      </c>
      <c r="AG82" s="749">
        <v>23564910173.06142</v>
      </c>
      <c r="AH82" s="749">
        <v>26605112629.965652</v>
      </c>
      <c r="AI82" s="749">
        <v>50016454173.490524</v>
      </c>
      <c r="AJ82" s="749">
        <v>29593687294.85001</v>
      </c>
      <c r="AK82" s="749">
        <v>30221752207.1264</v>
      </c>
      <c r="AL82" s="749">
        <v>31603794612.817749</v>
      </c>
      <c r="AM82" s="750">
        <v>56189503152.636993</v>
      </c>
      <c r="AN82" s="749">
        <v>43755367127.389954</v>
      </c>
      <c r="AO82" s="749">
        <v>48122296406.065994</v>
      </c>
      <c r="AP82" s="749">
        <v>48053597278.767998</v>
      </c>
      <c r="AQ82" s="749">
        <v>43101442208.168396</v>
      </c>
      <c r="AR82" s="749">
        <v>53433820482.115738</v>
      </c>
      <c r="AS82" s="749">
        <v>56356344288.019501</v>
      </c>
      <c r="AT82" s="749">
        <v>30621096774.122124</v>
      </c>
      <c r="AU82" s="749">
        <v>60562307296.458572</v>
      </c>
      <c r="AV82" s="749">
        <v>58879459192.669037</v>
      </c>
      <c r="AW82" s="749">
        <v>56227005895.201874</v>
      </c>
      <c r="AX82" s="749">
        <v>49305360844.122749</v>
      </c>
      <c r="AY82" s="750">
        <v>52810374874.546829</v>
      </c>
      <c r="AZ82" s="749">
        <v>49717288094.948128</v>
      </c>
      <c r="BA82" s="749">
        <v>58755950203.720436</v>
      </c>
      <c r="BB82" s="749">
        <v>60988340090.937103</v>
      </c>
      <c r="BC82" s="749">
        <v>50904816118.070366</v>
      </c>
      <c r="BD82" s="749">
        <v>53795087970.192825</v>
      </c>
      <c r="BE82" s="749">
        <v>55053116795.351639</v>
      </c>
      <c r="BF82" s="750">
        <v>40730104654.058975</v>
      </c>
      <c r="BG82" s="749">
        <v>33018926749.321342</v>
      </c>
      <c r="BH82" s="750">
        <v>44600680731.354645</v>
      </c>
      <c r="BI82" s="749">
        <v>51962378250.099197</v>
      </c>
      <c r="BJ82" s="751">
        <v>52230967865.86171</v>
      </c>
    </row>
    <row r="83" spans="1:62">
      <c r="A83" s="1232"/>
      <c r="B83" s="744" t="s">
        <v>663</v>
      </c>
      <c r="C83" s="745">
        <v>2439958155.3200002</v>
      </c>
      <c r="D83" s="710">
        <v>1921240605.405</v>
      </c>
      <c r="E83" s="710">
        <v>2203200046.7400002</v>
      </c>
      <c r="F83" s="710">
        <v>2259142157.3850002</v>
      </c>
      <c r="G83" s="710">
        <v>2822034298.7199998</v>
      </c>
      <c r="H83" s="710">
        <v>1372018347.2255001</v>
      </c>
      <c r="I83" s="710">
        <v>3507963841.2800002</v>
      </c>
      <c r="J83" s="710">
        <v>3288889104.8516998</v>
      </c>
      <c r="K83" s="710">
        <v>1386896332.5983999</v>
      </c>
      <c r="L83" s="710">
        <v>2158299521.8991995</v>
      </c>
      <c r="M83" s="710">
        <v>1323838308.8757002</v>
      </c>
      <c r="N83" s="710">
        <v>2267002001.3155999</v>
      </c>
      <c r="O83" s="710">
        <v>2477076864.3917994</v>
      </c>
      <c r="P83" s="710">
        <v>1055310455.3801999</v>
      </c>
      <c r="Q83" s="710">
        <v>788304770.72880006</v>
      </c>
      <c r="R83" s="710">
        <v>1206544868.4851999</v>
      </c>
      <c r="S83" s="710">
        <v>368506950.95799994</v>
      </c>
      <c r="T83" s="710">
        <v>0</v>
      </c>
      <c r="U83" s="710">
        <v>0</v>
      </c>
      <c r="V83" s="710">
        <v>786398145.68000007</v>
      </c>
      <c r="W83" s="710">
        <v>0</v>
      </c>
      <c r="X83" s="710">
        <v>59219097.585835151</v>
      </c>
      <c r="Y83" s="710">
        <v>142278948.55930001</v>
      </c>
      <c r="Z83" s="710">
        <v>3548751707.9762998</v>
      </c>
      <c r="AA83" s="710">
        <v>2207084708.2967997</v>
      </c>
      <c r="AB83" s="710">
        <v>4107636507.7679996</v>
      </c>
      <c r="AC83" s="710">
        <v>3178709850.2085004</v>
      </c>
      <c r="AD83" s="710">
        <v>3757667905.6749005</v>
      </c>
      <c r="AE83" s="710">
        <v>5746812329.3301001</v>
      </c>
      <c r="AF83" s="710">
        <v>4213398028.51968</v>
      </c>
      <c r="AG83" s="710">
        <v>5654894703.527873</v>
      </c>
      <c r="AH83" s="710">
        <v>5546106496.4009676</v>
      </c>
      <c r="AI83" s="710">
        <v>3728525553.4776006</v>
      </c>
      <c r="AJ83" s="710">
        <v>6402251750.5761843</v>
      </c>
      <c r="AK83" s="710">
        <v>7238361362.1221495</v>
      </c>
      <c r="AL83" s="710">
        <v>7704306957.809473</v>
      </c>
      <c r="AM83" s="711">
        <v>13541048997.180378</v>
      </c>
      <c r="AN83" s="710">
        <v>8371476871.5615988</v>
      </c>
      <c r="AO83" s="710">
        <v>10099198941.256845</v>
      </c>
      <c r="AP83" s="710">
        <v>8008573537.2529583</v>
      </c>
      <c r="AQ83" s="710">
        <v>9868616391.55826</v>
      </c>
      <c r="AR83" s="710">
        <v>8847707535.5599995</v>
      </c>
      <c r="AS83" s="710">
        <v>9597167137.5445137</v>
      </c>
      <c r="AT83" s="710">
        <v>14235609356.60535</v>
      </c>
      <c r="AU83" s="710">
        <v>12879406270.183472</v>
      </c>
      <c r="AV83" s="710">
        <v>5792412422.2760229</v>
      </c>
      <c r="AW83" s="710">
        <v>7430327050.2572994</v>
      </c>
      <c r="AX83" s="710">
        <v>6700622508.7043171</v>
      </c>
      <c r="AY83" s="711">
        <v>8839804470.1452942</v>
      </c>
      <c r="AZ83" s="710">
        <v>8033882855.1568651</v>
      </c>
      <c r="BA83" s="710">
        <v>9280455325.520071</v>
      </c>
      <c r="BB83" s="710">
        <v>8017322857.8491011</v>
      </c>
      <c r="BC83" s="710">
        <v>8141512101.6792793</v>
      </c>
      <c r="BD83" s="710">
        <v>7089923254.3511372</v>
      </c>
      <c r="BE83" s="710">
        <v>7164901116.8237009</v>
      </c>
      <c r="BF83" s="711">
        <v>6797604556.2492704</v>
      </c>
      <c r="BG83" s="710">
        <v>6496323745.7481327</v>
      </c>
      <c r="BH83" s="711">
        <v>3669141688.1766038</v>
      </c>
      <c r="BI83" s="710">
        <v>5667965064.0079641</v>
      </c>
      <c r="BJ83" s="746">
        <v>4043313961.2013583</v>
      </c>
    </row>
    <row r="84" spans="1:62">
      <c r="A84" s="1232"/>
      <c r="B84" s="744" t="s">
        <v>664</v>
      </c>
      <c r="C84" s="745">
        <v>1179618054.98</v>
      </c>
      <c r="D84" s="710">
        <v>2916914973.6162958</v>
      </c>
      <c r="E84" s="710">
        <v>3260260755.1008</v>
      </c>
      <c r="F84" s="710">
        <v>4275595494.1589999</v>
      </c>
      <c r="G84" s="710">
        <v>4661844683.3699999</v>
      </c>
      <c r="H84" s="710">
        <v>4346912397.0544682</v>
      </c>
      <c r="I84" s="710">
        <v>2305698189.4899998</v>
      </c>
      <c r="J84" s="710">
        <v>744984562.79597974</v>
      </c>
      <c r="K84" s="710">
        <v>4467531449.5443211</v>
      </c>
      <c r="L84" s="710">
        <v>4423851342.4447126</v>
      </c>
      <c r="M84" s="710">
        <v>3769967261.8330226</v>
      </c>
      <c r="N84" s="710">
        <v>4318696929.5205202</v>
      </c>
      <c r="O84" s="710">
        <v>4113658078.9473786</v>
      </c>
      <c r="P84" s="710">
        <v>3739051012.1918249</v>
      </c>
      <c r="Q84" s="710">
        <v>2852476444.4520259</v>
      </c>
      <c r="R84" s="710">
        <v>1943651455.0746934</v>
      </c>
      <c r="S84" s="710">
        <v>4412871451.5024786</v>
      </c>
      <c r="T84" s="710">
        <v>3428751893.4879446</v>
      </c>
      <c r="U84" s="710">
        <v>2152559058.7343421</v>
      </c>
      <c r="V84" s="710">
        <v>2723349379.5682592</v>
      </c>
      <c r="W84" s="710">
        <v>6363486445.6357403</v>
      </c>
      <c r="X84" s="710">
        <v>6607961477.7629957</v>
      </c>
      <c r="Y84" s="710">
        <v>4888283604.6536188</v>
      </c>
      <c r="Z84" s="710">
        <v>5335869163.8409767</v>
      </c>
      <c r="AA84" s="710">
        <v>4116899842.3919549</v>
      </c>
      <c r="AB84" s="710">
        <v>6446844748.853611</v>
      </c>
      <c r="AC84" s="710">
        <v>6458869193.7178612</v>
      </c>
      <c r="AD84" s="710">
        <v>6257303229.5416136</v>
      </c>
      <c r="AE84" s="710">
        <v>8938964317.0035248</v>
      </c>
      <c r="AF84" s="710">
        <v>7946594440.2979412</v>
      </c>
      <c r="AG84" s="710">
        <v>9039637476.6017284</v>
      </c>
      <c r="AH84" s="710">
        <v>7678313896.9626169</v>
      </c>
      <c r="AI84" s="710">
        <v>7732748145.381793</v>
      </c>
      <c r="AJ84" s="710">
        <v>9300887336.2720699</v>
      </c>
      <c r="AK84" s="710">
        <v>10357343974.101324</v>
      </c>
      <c r="AL84" s="710">
        <v>10797235669.190018</v>
      </c>
      <c r="AM84" s="711">
        <v>13565760500.869635</v>
      </c>
      <c r="AN84" s="710">
        <v>15404311968.152796</v>
      </c>
      <c r="AO84" s="710">
        <v>15312362210.946707</v>
      </c>
      <c r="AP84" s="710">
        <v>13827344742.508318</v>
      </c>
      <c r="AQ84" s="710">
        <v>9821756021.82267</v>
      </c>
      <c r="AR84" s="710">
        <v>12247710392.559999</v>
      </c>
      <c r="AS84" s="710">
        <v>16266133972.884636</v>
      </c>
      <c r="AT84" s="710">
        <v>20971076534.011417</v>
      </c>
      <c r="AU84" s="710">
        <v>20561414031.559895</v>
      </c>
      <c r="AV84" s="710">
        <v>18603534195.255074</v>
      </c>
      <c r="AW84" s="710">
        <v>16356519792.857548</v>
      </c>
      <c r="AX84" s="710">
        <v>13261362400.571783</v>
      </c>
      <c r="AY84" s="711">
        <v>18415401284.682285</v>
      </c>
      <c r="AZ84" s="710">
        <v>17822819511.472393</v>
      </c>
      <c r="BA84" s="710">
        <v>14219750389.824343</v>
      </c>
      <c r="BB84" s="710">
        <v>12734192927.20697</v>
      </c>
      <c r="BC84" s="710">
        <v>17323482652.061832</v>
      </c>
      <c r="BD84" s="710">
        <v>19928202322.385025</v>
      </c>
      <c r="BE84" s="710">
        <v>25594674000.51585</v>
      </c>
      <c r="BF84" s="711">
        <v>18942024727.490486</v>
      </c>
      <c r="BG84" s="710">
        <v>17526985805.887802</v>
      </c>
      <c r="BH84" s="711">
        <v>17599758355.819592</v>
      </c>
      <c r="BI84" s="710">
        <v>17680412922.196178</v>
      </c>
      <c r="BJ84" s="746">
        <v>16902844267.997471</v>
      </c>
    </row>
    <row r="85" spans="1:62">
      <c r="A85" s="1234"/>
      <c r="B85" s="744" t="s">
        <v>665</v>
      </c>
      <c r="C85" s="745">
        <v>0</v>
      </c>
      <c r="D85" s="710">
        <v>0</v>
      </c>
      <c r="E85" s="710">
        <v>0</v>
      </c>
      <c r="F85" s="710">
        <v>0</v>
      </c>
      <c r="G85" s="710">
        <v>0</v>
      </c>
      <c r="H85" s="710">
        <v>0</v>
      </c>
      <c r="I85" s="710">
        <v>0</v>
      </c>
      <c r="J85" s="710">
        <v>0</v>
      </c>
      <c r="K85" s="710">
        <v>0</v>
      </c>
      <c r="L85" s="710">
        <v>0</v>
      </c>
      <c r="M85" s="710">
        <v>0</v>
      </c>
      <c r="N85" s="710">
        <v>0</v>
      </c>
      <c r="O85" s="710">
        <v>0</v>
      </c>
      <c r="P85" s="710">
        <v>0</v>
      </c>
      <c r="Q85" s="710">
        <v>0</v>
      </c>
      <c r="R85" s="710">
        <v>0</v>
      </c>
      <c r="S85" s="710">
        <v>0</v>
      </c>
      <c r="T85" s="710">
        <v>0</v>
      </c>
      <c r="U85" s="710">
        <v>0</v>
      </c>
      <c r="V85" s="710">
        <v>0</v>
      </c>
      <c r="W85" s="710">
        <v>0</v>
      </c>
      <c r="X85" s="710">
        <v>0</v>
      </c>
      <c r="Y85" s="710">
        <v>0</v>
      </c>
      <c r="Z85" s="710">
        <v>0</v>
      </c>
      <c r="AA85" s="710">
        <v>0</v>
      </c>
      <c r="AB85" s="710">
        <v>0</v>
      </c>
      <c r="AC85" s="710">
        <v>0</v>
      </c>
      <c r="AD85" s="710">
        <v>0</v>
      </c>
      <c r="AE85" s="710">
        <v>0</v>
      </c>
      <c r="AF85" s="710">
        <v>0</v>
      </c>
      <c r="AG85" s="710">
        <v>0</v>
      </c>
      <c r="AH85" s="710">
        <v>0</v>
      </c>
      <c r="AI85" s="710">
        <v>0</v>
      </c>
      <c r="AJ85" s="710">
        <v>0</v>
      </c>
      <c r="AK85" s="710">
        <v>0</v>
      </c>
      <c r="AL85" s="710">
        <v>93860715.599999994</v>
      </c>
      <c r="AM85" s="711">
        <v>793945995.52999997</v>
      </c>
      <c r="AN85" s="710">
        <v>1002849828.91</v>
      </c>
      <c r="AO85" s="710">
        <v>422571334.33999997</v>
      </c>
      <c r="AP85" s="710">
        <v>615529836.65999997</v>
      </c>
      <c r="AQ85" s="710">
        <v>954169833.69999993</v>
      </c>
      <c r="AR85" s="710">
        <v>939179576.91000009</v>
      </c>
      <c r="AS85" s="710">
        <v>597460319.52999997</v>
      </c>
      <c r="AT85" s="710">
        <v>920535789.00999999</v>
      </c>
      <c r="AU85" s="710">
        <v>905869544.1400001</v>
      </c>
      <c r="AV85" s="710">
        <v>779277427.3499999</v>
      </c>
      <c r="AW85" s="710">
        <v>761524984.51999998</v>
      </c>
      <c r="AX85" s="710">
        <v>724162754.25</v>
      </c>
      <c r="AY85" s="711">
        <v>724679441.57000005</v>
      </c>
      <c r="AZ85" s="710">
        <v>721820713.51999998</v>
      </c>
      <c r="BA85" s="710">
        <v>1041984959.58</v>
      </c>
      <c r="BB85" s="710">
        <v>806235376.11000001</v>
      </c>
      <c r="BC85" s="710">
        <v>1166852442.6099999</v>
      </c>
      <c r="BD85" s="710">
        <v>1143143243.1099999</v>
      </c>
      <c r="BE85" s="710">
        <v>1077110349.4099998</v>
      </c>
      <c r="BF85" s="711">
        <v>1135368563.5999999</v>
      </c>
      <c r="BG85" s="710">
        <v>1107890451.8099999</v>
      </c>
      <c r="BH85" s="711">
        <v>1130543484.98</v>
      </c>
      <c r="BI85" s="710">
        <v>848519470.06999993</v>
      </c>
      <c r="BJ85" s="746">
        <v>903298904.67000008</v>
      </c>
    </row>
    <row r="86" spans="1:62" ht="15" thickBot="1">
      <c r="A86" s="753"/>
      <c r="B86" s="754" t="s">
        <v>25</v>
      </c>
      <c r="C86" s="755">
        <f>SUM(C59:C85)</f>
        <v>71373335213.499985</v>
      </c>
      <c r="D86" s="756">
        <f t="shared" ref="D86:BJ86" si="13">SUM(D59:D85)</f>
        <v>66147574726.168251</v>
      </c>
      <c r="E86" s="756">
        <f t="shared" si="13"/>
        <v>68894375673.48111</v>
      </c>
      <c r="F86" s="756">
        <f t="shared" si="13"/>
        <v>69656996872.534012</v>
      </c>
      <c r="G86" s="756">
        <f t="shared" si="13"/>
        <v>73298014092.339996</v>
      </c>
      <c r="H86" s="756">
        <f t="shared" si="13"/>
        <v>66197913240.236862</v>
      </c>
      <c r="I86" s="756">
        <f t="shared" si="13"/>
        <v>69342299047.630005</v>
      </c>
      <c r="J86" s="756">
        <f t="shared" si="13"/>
        <v>67164103479.898766</v>
      </c>
      <c r="K86" s="756">
        <f t="shared" si="13"/>
        <v>63148356307.920708</v>
      </c>
      <c r="L86" s="756">
        <f t="shared" si="13"/>
        <v>69926160317.772308</v>
      </c>
      <c r="M86" s="756">
        <f t="shared" si="13"/>
        <v>69216886493.01622</v>
      </c>
      <c r="N86" s="756">
        <f t="shared" si="13"/>
        <v>69017349153.443054</v>
      </c>
      <c r="O86" s="756">
        <f t="shared" si="13"/>
        <v>72464662067.342178</v>
      </c>
      <c r="P86" s="756">
        <f t="shared" si="13"/>
        <v>66551860029.486137</v>
      </c>
      <c r="Q86" s="756">
        <f t="shared" si="13"/>
        <v>64673374447.450394</v>
      </c>
      <c r="R86" s="756">
        <f t="shared" si="13"/>
        <v>63975231337.481735</v>
      </c>
      <c r="S86" s="756">
        <f t="shared" si="13"/>
        <v>62625728654.289536</v>
      </c>
      <c r="T86" s="756">
        <f t="shared" si="13"/>
        <v>58280667914.060715</v>
      </c>
      <c r="U86" s="756">
        <f t="shared" si="13"/>
        <v>65007934363.921806</v>
      </c>
      <c r="V86" s="756">
        <f t="shared" si="13"/>
        <v>68775272686.174179</v>
      </c>
      <c r="W86" s="756">
        <f t="shared" si="13"/>
        <v>68407004070.786377</v>
      </c>
      <c r="X86" s="756">
        <f t="shared" si="13"/>
        <v>68651680852.555824</v>
      </c>
      <c r="Y86" s="756">
        <f t="shared" si="13"/>
        <v>73795277272.158234</v>
      </c>
      <c r="Z86" s="756">
        <f t="shared" si="13"/>
        <v>78132176763.147049</v>
      </c>
      <c r="AA86" s="756">
        <f t="shared" si="13"/>
        <v>76446747720.660995</v>
      </c>
      <c r="AB86" s="756">
        <f t="shared" si="13"/>
        <v>75107777670.455032</v>
      </c>
      <c r="AC86" s="756">
        <f t="shared" si="13"/>
        <v>84365595356.098175</v>
      </c>
      <c r="AD86" s="756">
        <f t="shared" si="13"/>
        <v>75365437664.817764</v>
      </c>
      <c r="AE86" s="756">
        <f t="shared" si="13"/>
        <v>109861218039.88478</v>
      </c>
      <c r="AF86" s="756">
        <f t="shared" si="13"/>
        <v>114585091511.08154</v>
      </c>
      <c r="AG86" s="756">
        <f t="shared" si="13"/>
        <v>123362624092.56096</v>
      </c>
      <c r="AH86" s="756">
        <f t="shared" si="13"/>
        <v>122826643969.76773</v>
      </c>
      <c r="AI86" s="756">
        <f t="shared" si="13"/>
        <v>151147350926.22205</v>
      </c>
      <c r="AJ86" s="756">
        <f t="shared" si="13"/>
        <v>151432560533.25824</v>
      </c>
      <c r="AK86" s="756">
        <f t="shared" si="13"/>
        <v>161741315886.93991</v>
      </c>
      <c r="AL86" s="756">
        <f t="shared" si="13"/>
        <v>165732076614.53909</v>
      </c>
      <c r="AM86" s="756">
        <f t="shared" si="13"/>
        <v>258782580915.21481</v>
      </c>
      <c r="AN86" s="756">
        <f t="shared" si="13"/>
        <v>208480701392.854</v>
      </c>
      <c r="AO86" s="756">
        <f t="shared" si="13"/>
        <v>235661855978.81613</v>
      </c>
      <c r="AP86" s="756">
        <f t="shared" si="13"/>
        <v>218058023559.23932</v>
      </c>
      <c r="AQ86" s="756">
        <f t="shared" si="13"/>
        <v>241330994708.86929</v>
      </c>
      <c r="AR86" s="756">
        <f t="shared" si="13"/>
        <v>235202429045.45486</v>
      </c>
      <c r="AS86" s="756">
        <f t="shared" si="13"/>
        <v>262068554969.29236</v>
      </c>
      <c r="AT86" s="756">
        <f t="shared" si="13"/>
        <v>248485592678.76956</v>
      </c>
      <c r="AU86" s="756">
        <f t="shared" si="13"/>
        <v>287336306724.94861</v>
      </c>
      <c r="AV86" s="756">
        <f t="shared" si="13"/>
        <v>264412765313.65356</v>
      </c>
      <c r="AW86" s="756">
        <f t="shared" si="13"/>
        <v>261887723183.83444</v>
      </c>
      <c r="AX86" s="756">
        <f t="shared" si="13"/>
        <v>277820176665.06537</v>
      </c>
      <c r="AY86" s="756">
        <f t="shared" si="13"/>
        <v>282530430941.9682</v>
      </c>
      <c r="AZ86" s="756">
        <f t="shared" si="13"/>
        <v>266546463732.28094</v>
      </c>
      <c r="BA86" s="756">
        <f t="shared" si="13"/>
        <v>308753109927.44147</v>
      </c>
      <c r="BB86" s="756">
        <f t="shared" si="13"/>
        <v>285159410944.57001</v>
      </c>
      <c r="BC86" s="756">
        <f t="shared" si="13"/>
        <v>282139286111.02313</v>
      </c>
      <c r="BD86" s="756">
        <f t="shared" si="13"/>
        <v>257261664951.55316</v>
      </c>
      <c r="BE86" s="756">
        <f t="shared" si="13"/>
        <v>267999866656.92825</v>
      </c>
      <c r="BF86" s="756">
        <f t="shared" si="13"/>
        <v>245956883162.00595</v>
      </c>
      <c r="BG86" s="756">
        <f t="shared" si="13"/>
        <v>226665337125.43152</v>
      </c>
      <c r="BH86" s="756">
        <f t="shared" si="13"/>
        <v>251649946725.3508</v>
      </c>
      <c r="BI86" s="756">
        <f t="shared" si="13"/>
        <v>262701695774.31332</v>
      </c>
      <c r="BJ86" s="757">
        <f t="shared" si="13"/>
        <v>231074477120.21967</v>
      </c>
    </row>
    <row r="87" spans="1:62" ht="15" thickBot="1">
      <c r="S87" s="719"/>
      <c r="T87" s="719"/>
      <c r="U87" s="719"/>
      <c r="V87" s="719"/>
      <c r="W87" s="719"/>
      <c r="X87" s="719"/>
      <c r="Y87" s="719"/>
      <c r="Z87" s="719"/>
      <c r="AA87" s="719"/>
      <c r="AB87" s="719"/>
      <c r="AC87" s="719"/>
      <c r="AD87" s="719"/>
      <c r="AE87" s="719"/>
      <c r="AF87" s="719"/>
      <c r="AG87" s="719"/>
      <c r="AH87" s="719"/>
      <c r="AI87" s="719"/>
      <c r="AJ87" s="719"/>
      <c r="AK87" s="719"/>
      <c r="AL87" s="719"/>
      <c r="AM87" s="732"/>
      <c r="AN87" s="719"/>
      <c r="AO87" s="719"/>
      <c r="AP87" s="719"/>
      <c r="AQ87" s="719"/>
      <c r="AR87" s="719"/>
      <c r="AS87" s="719"/>
      <c r="AT87" s="719"/>
      <c r="AU87" s="719"/>
      <c r="AV87" s="719"/>
      <c r="AW87" s="719"/>
      <c r="AX87" s="719"/>
      <c r="AY87" s="732"/>
      <c r="AZ87" s="719"/>
      <c r="BA87" s="719"/>
      <c r="BB87" s="719"/>
      <c r="BC87" s="719"/>
      <c r="BD87" s="719"/>
      <c r="BE87" s="719"/>
      <c r="BF87" s="732"/>
      <c r="BG87" s="719"/>
      <c r="BH87" s="732"/>
      <c r="BI87" s="719"/>
      <c r="BJ87" s="719"/>
    </row>
    <row r="88" spans="1:62" s="738" customFormat="1" ht="15" thickBot="1">
      <c r="A88" s="377"/>
      <c r="B88" s="733"/>
      <c r="C88" s="734">
        <f t="shared" ref="C88:BJ88" si="14">C58</f>
        <v>44197</v>
      </c>
      <c r="D88" s="735">
        <f t="shared" si="14"/>
        <v>44228</v>
      </c>
      <c r="E88" s="735">
        <f t="shared" si="14"/>
        <v>44256</v>
      </c>
      <c r="F88" s="735">
        <f t="shared" si="14"/>
        <v>44287</v>
      </c>
      <c r="G88" s="735">
        <f t="shared" si="14"/>
        <v>44317</v>
      </c>
      <c r="H88" s="735">
        <f t="shared" si="14"/>
        <v>44348</v>
      </c>
      <c r="I88" s="735">
        <f t="shared" si="14"/>
        <v>44378</v>
      </c>
      <c r="J88" s="735">
        <f t="shared" si="14"/>
        <v>44409</v>
      </c>
      <c r="K88" s="735">
        <f t="shared" si="14"/>
        <v>44440</v>
      </c>
      <c r="L88" s="735">
        <f t="shared" si="14"/>
        <v>44470</v>
      </c>
      <c r="M88" s="735">
        <f t="shared" si="14"/>
        <v>44501</v>
      </c>
      <c r="N88" s="735">
        <f t="shared" si="14"/>
        <v>44531</v>
      </c>
      <c r="O88" s="735">
        <f t="shared" si="14"/>
        <v>44562</v>
      </c>
      <c r="P88" s="735">
        <f t="shared" si="14"/>
        <v>44593</v>
      </c>
      <c r="Q88" s="735">
        <f t="shared" si="14"/>
        <v>44621</v>
      </c>
      <c r="R88" s="735">
        <f t="shared" si="14"/>
        <v>44652</v>
      </c>
      <c r="S88" s="735">
        <f t="shared" si="14"/>
        <v>44682</v>
      </c>
      <c r="T88" s="735">
        <f t="shared" si="14"/>
        <v>44713</v>
      </c>
      <c r="U88" s="735">
        <f t="shared" si="14"/>
        <v>44743</v>
      </c>
      <c r="V88" s="735">
        <f t="shared" si="14"/>
        <v>44774</v>
      </c>
      <c r="W88" s="735">
        <f t="shared" si="14"/>
        <v>44805</v>
      </c>
      <c r="X88" s="735">
        <f t="shared" si="14"/>
        <v>44835</v>
      </c>
      <c r="Y88" s="735">
        <f t="shared" si="14"/>
        <v>44866</v>
      </c>
      <c r="Z88" s="735">
        <f t="shared" si="14"/>
        <v>44896</v>
      </c>
      <c r="AA88" s="735">
        <f t="shared" si="14"/>
        <v>44927</v>
      </c>
      <c r="AB88" s="735">
        <f t="shared" si="14"/>
        <v>44958</v>
      </c>
      <c r="AC88" s="735">
        <f t="shared" si="14"/>
        <v>44986</v>
      </c>
      <c r="AD88" s="736">
        <f t="shared" si="14"/>
        <v>45017</v>
      </c>
      <c r="AE88" s="736">
        <f t="shared" si="14"/>
        <v>45047</v>
      </c>
      <c r="AF88" s="736">
        <f t="shared" si="14"/>
        <v>45078</v>
      </c>
      <c r="AG88" s="736">
        <f t="shared" si="14"/>
        <v>45108</v>
      </c>
      <c r="AH88" s="736">
        <f t="shared" si="14"/>
        <v>45139</v>
      </c>
      <c r="AI88" s="736">
        <f t="shared" si="14"/>
        <v>45170</v>
      </c>
      <c r="AJ88" s="736">
        <f t="shared" si="14"/>
        <v>45200</v>
      </c>
      <c r="AK88" s="736">
        <f t="shared" si="14"/>
        <v>45231</v>
      </c>
      <c r="AL88" s="736">
        <f t="shared" si="14"/>
        <v>45261</v>
      </c>
      <c r="AM88" s="737">
        <f t="shared" si="14"/>
        <v>45292</v>
      </c>
      <c r="AN88" s="736">
        <f t="shared" si="14"/>
        <v>45323</v>
      </c>
      <c r="AO88" s="736">
        <f t="shared" si="14"/>
        <v>45352</v>
      </c>
      <c r="AP88" s="736">
        <f t="shared" si="14"/>
        <v>45383</v>
      </c>
      <c r="AQ88" s="736">
        <f t="shared" si="14"/>
        <v>45413</v>
      </c>
      <c r="AR88" s="736">
        <f t="shared" si="14"/>
        <v>45444</v>
      </c>
      <c r="AS88" s="736">
        <f t="shared" si="14"/>
        <v>45474</v>
      </c>
      <c r="AT88" s="736">
        <f t="shared" si="14"/>
        <v>45505</v>
      </c>
      <c r="AU88" s="736">
        <f t="shared" si="14"/>
        <v>45536</v>
      </c>
      <c r="AV88" s="736">
        <f t="shared" si="14"/>
        <v>45566</v>
      </c>
      <c r="AW88" s="736">
        <f t="shared" si="14"/>
        <v>45597</v>
      </c>
      <c r="AX88" s="736">
        <f t="shared" si="14"/>
        <v>45627</v>
      </c>
      <c r="AY88" s="737">
        <f t="shared" si="14"/>
        <v>45658</v>
      </c>
      <c r="AZ88" s="736">
        <f t="shared" si="14"/>
        <v>45689</v>
      </c>
      <c r="BA88" s="736">
        <f t="shared" si="14"/>
        <v>45717</v>
      </c>
      <c r="BB88" s="736">
        <f t="shared" si="14"/>
        <v>45748</v>
      </c>
      <c r="BC88" s="736">
        <f t="shared" si="14"/>
        <v>45778</v>
      </c>
      <c r="BD88" s="736">
        <f t="shared" si="14"/>
        <v>45809</v>
      </c>
      <c r="BE88" s="736">
        <f t="shared" si="14"/>
        <v>45839</v>
      </c>
      <c r="BF88" s="737">
        <f t="shared" si="14"/>
        <v>45870</v>
      </c>
      <c r="BG88" s="736">
        <f t="shared" si="14"/>
        <v>45901</v>
      </c>
      <c r="BH88" s="737">
        <f t="shared" si="14"/>
        <v>45931</v>
      </c>
      <c r="BI88" s="736">
        <f t="shared" si="14"/>
        <v>45962</v>
      </c>
      <c r="BJ88" s="736">
        <f t="shared" si="14"/>
        <v>45992</v>
      </c>
    </row>
    <row r="89" spans="1:62">
      <c r="A89" s="1235" t="s">
        <v>666</v>
      </c>
      <c r="B89" s="758" t="s">
        <v>667</v>
      </c>
      <c r="C89" s="759">
        <v>379.5</v>
      </c>
      <c r="D89" s="760">
        <v>379.5</v>
      </c>
      <c r="E89" s="760">
        <v>379.5</v>
      </c>
      <c r="F89" s="760">
        <v>387.75</v>
      </c>
      <c r="G89" s="760">
        <v>409.69</v>
      </c>
      <c r="H89" s="760">
        <v>409.63</v>
      </c>
      <c r="I89" s="760">
        <v>409.63</v>
      </c>
      <c r="J89" s="760">
        <v>410.13</v>
      </c>
      <c r="K89" s="760">
        <v>410.46</v>
      </c>
      <c r="L89" s="760">
        <v>410.64</v>
      </c>
      <c r="M89" s="760">
        <v>410.91</v>
      </c>
      <c r="N89" s="760">
        <v>414.67</v>
      </c>
      <c r="O89" s="760">
        <v>415.89</v>
      </c>
      <c r="P89" s="760">
        <v>415.82</v>
      </c>
      <c r="Q89" s="760">
        <v>415.48</v>
      </c>
      <c r="R89" s="760">
        <v>415.08</v>
      </c>
      <c r="S89" s="760">
        <v>415.15</v>
      </c>
      <c r="T89" s="760">
        <v>415.25</v>
      </c>
      <c r="U89" s="760">
        <v>421.21</v>
      </c>
      <c r="V89" s="760">
        <v>430.99</v>
      </c>
      <c r="W89" s="760">
        <v>438.87</v>
      </c>
      <c r="X89" s="760">
        <v>443.43</v>
      </c>
      <c r="Y89" s="760">
        <v>446.63</v>
      </c>
      <c r="Z89" s="760">
        <v>459.97</v>
      </c>
      <c r="AA89" s="760">
        <v>460.44</v>
      </c>
      <c r="AB89" s="760">
        <v>460.4</v>
      </c>
      <c r="AC89" s="760">
        <v>460.47</v>
      </c>
      <c r="AD89" s="760">
        <v>460.81</v>
      </c>
      <c r="AE89" s="760">
        <v>742.77</v>
      </c>
      <c r="AF89" s="760">
        <v>788.42399999999998</v>
      </c>
      <c r="AG89" s="760">
        <v>754.71199999999999</v>
      </c>
      <c r="AH89" s="760">
        <v>756.95500000000004</v>
      </c>
      <c r="AI89" s="760">
        <v>832.07799999999997</v>
      </c>
      <c r="AJ89" s="760">
        <v>837.98919999999998</v>
      </c>
      <c r="AK89" s="760">
        <v>905.89400000000001</v>
      </c>
      <c r="AL89" s="760">
        <v>914.06029999999998</v>
      </c>
      <c r="AM89" s="761">
        <v>1662.35</v>
      </c>
      <c r="AN89" s="760">
        <v>1364.8789999999999</v>
      </c>
      <c r="AO89" s="760">
        <v>1327.35</v>
      </c>
      <c r="AP89" s="760">
        <v>1327.54</v>
      </c>
      <c r="AQ89" s="760">
        <v>1513.2349999999999</v>
      </c>
      <c r="AR89" s="760">
        <v>1609.567</v>
      </c>
      <c r="AS89" s="760">
        <v>1591.65</v>
      </c>
      <c r="AT89" s="760">
        <v>1659.8330000000001</v>
      </c>
      <c r="AU89" s="760">
        <v>1651.1610000000001</v>
      </c>
      <c r="AV89" s="760">
        <v>1663.396</v>
      </c>
      <c r="AW89" s="760">
        <v>1536.4280000000001</v>
      </c>
      <c r="AX89" s="762">
        <v>1532.7629999999999</v>
      </c>
      <c r="AY89" s="763">
        <v>1498.61</v>
      </c>
      <c r="AZ89" s="762">
        <v>1530.6890000000001</v>
      </c>
      <c r="BA89" s="762">
        <v>1599.049</v>
      </c>
      <c r="BB89" s="762">
        <v>1590.2470000000001</v>
      </c>
      <c r="BC89" s="762">
        <v>1538.7360000000001</v>
      </c>
      <c r="BD89" s="762">
        <v>1532.682</v>
      </c>
      <c r="BE89" s="762">
        <v>1534.9749999999999</v>
      </c>
      <c r="BF89" s="763">
        <v>1486.865</v>
      </c>
      <c r="BG89" s="762">
        <v>1459.9939999999999</v>
      </c>
      <c r="BH89" s="763">
        <v>1445.816</v>
      </c>
      <c r="BI89" s="762">
        <v>1456.0640000000001</v>
      </c>
      <c r="BJ89" s="764">
        <v>1396.491</v>
      </c>
    </row>
    <row r="90" spans="1:62">
      <c r="A90" s="1236"/>
      <c r="B90" s="744" t="s">
        <v>668</v>
      </c>
      <c r="C90" s="765">
        <v>379</v>
      </c>
      <c r="D90" s="766">
        <v>379</v>
      </c>
      <c r="E90" s="766">
        <v>379</v>
      </c>
      <c r="F90" s="766">
        <v>410.5</v>
      </c>
      <c r="G90" s="766">
        <v>409.16500000000002</v>
      </c>
      <c r="H90" s="766">
        <v>409.12700000000001</v>
      </c>
      <c r="I90" s="766">
        <v>409.11399999999998</v>
      </c>
      <c r="J90" s="766">
        <v>409.50529999999998</v>
      </c>
      <c r="K90" s="766">
        <v>409.86799999999999</v>
      </c>
      <c r="L90" s="766">
        <v>410.29469999999998</v>
      </c>
      <c r="M90" s="766">
        <v>409.76920000000001</v>
      </c>
      <c r="N90" s="766">
        <v>413.42910000000001</v>
      </c>
      <c r="O90" s="766">
        <v>415.7133</v>
      </c>
      <c r="P90" s="766">
        <v>415.37200000000001</v>
      </c>
      <c r="Q90" s="766">
        <v>414.73399999999998</v>
      </c>
      <c r="R90" s="766">
        <v>414.37700000000001</v>
      </c>
      <c r="S90" s="766">
        <v>414.53500000000003</v>
      </c>
      <c r="T90" s="766">
        <v>414.04</v>
      </c>
      <c r="U90" s="766">
        <v>419.28190000000001</v>
      </c>
      <c r="V90" s="766">
        <v>428.01850000000002</v>
      </c>
      <c r="W90" s="766">
        <v>435.76100000000002</v>
      </c>
      <c r="X90" s="766">
        <v>441.05579999999998</v>
      </c>
      <c r="Y90" s="766">
        <v>444.89929999999998</v>
      </c>
      <c r="Z90" s="766">
        <v>453.03070000000002</v>
      </c>
      <c r="AA90" s="766">
        <v>459.55200000000002</v>
      </c>
      <c r="AB90" s="766">
        <v>459.9511</v>
      </c>
      <c r="AC90" s="766">
        <v>459.92899999999997</v>
      </c>
      <c r="AD90" s="766">
        <v>460.12939999999998</v>
      </c>
      <c r="AE90" s="766">
        <v>597.68230000000005</v>
      </c>
      <c r="AF90" s="766">
        <v>769.31700000000001</v>
      </c>
      <c r="AG90" s="766">
        <v>762.28459999999995</v>
      </c>
      <c r="AH90" s="766">
        <v>760.60860000000002</v>
      </c>
      <c r="AI90" s="766">
        <v>787.14689999999996</v>
      </c>
      <c r="AJ90" s="766">
        <v>832.17579999999998</v>
      </c>
      <c r="AK90" s="766">
        <v>900.12639999999999</v>
      </c>
      <c r="AL90" s="766">
        <v>900.79089999999997</v>
      </c>
      <c r="AM90" s="767">
        <v>1489.923</v>
      </c>
      <c r="AN90" s="766">
        <v>1510.3430000000001</v>
      </c>
      <c r="AO90" s="766">
        <v>1221.6679999999999</v>
      </c>
      <c r="AP90" s="766">
        <v>1443.09</v>
      </c>
      <c r="AQ90" s="766">
        <v>1481.2660000000001</v>
      </c>
      <c r="AR90" s="766">
        <v>1553.405</v>
      </c>
      <c r="AS90" s="766">
        <v>1585.4190000000001</v>
      </c>
      <c r="AT90" s="766">
        <v>1619.9190000000001</v>
      </c>
      <c r="AU90" s="766">
        <v>1637.5219999999999</v>
      </c>
      <c r="AV90" s="766">
        <v>1669.7760000000001</v>
      </c>
      <c r="AW90" s="766">
        <v>1555.7329999999999</v>
      </c>
      <c r="AX90" s="768">
        <v>1534.9449999999999</v>
      </c>
      <c r="AY90" s="769">
        <v>1499.972</v>
      </c>
      <c r="AZ90" s="768">
        <v>1524.106</v>
      </c>
      <c r="BA90" s="768">
        <v>1594.0509999999999</v>
      </c>
      <c r="BB90" s="768">
        <v>1594.2049999999999</v>
      </c>
      <c r="BC90" s="768">
        <v>1548.7940000000001</v>
      </c>
      <c r="BD90" s="768">
        <v>1529.194</v>
      </c>
      <c r="BE90" s="768">
        <v>1533.75</v>
      </c>
      <c r="BF90" s="769">
        <v>1499.0989999999999</v>
      </c>
      <c r="BG90" s="768">
        <v>1458.5409999999999</v>
      </c>
      <c r="BH90" s="769">
        <v>1442.85</v>
      </c>
      <c r="BI90" s="768">
        <v>1449.854</v>
      </c>
      <c r="BJ90" s="770">
        <v>1415.5219999999999</v>
      </c>
    </row>
    <row r="91" spans="1:62" ht="15" thickBot="1">
      <c r="A91" s="1237"/>
      <c r="B91" s="754" t="s">
        <v>669</v>
      </c>
      <c r="C91" s="771">
        <v>380</v>
      </c>
      <c r="D91" s="772">
        <v>380</v>
      </c>
      <c r="E91" s="772">
        <v>380</v>
      </c>
      <c r="F91" s="772">
        <v>411</v>
      </c>
      <c r="G91" s="772">
        <v>410.19</v>
      </c>
      <c r="H91" s="772">
        <v>410.13</v>
      </c>
      <c r="I91" s="772">
        <v>410.13</v>
      </c>
      <c r="J91" s="772">
        <v>410.63</v>
      </c>
      <c r="K91" s="772">
        <v>410.96</v>
      </c>
      <c r="L91" s="772">
        <v>411.64</v>
      </c>
      <c r="M91" s="772">
        <v>411.91</v>
      </c>
      <c r="N91" s="772">
        <v>415.17</v>
      </c>
      <c r="O91" s="772">
        <v>416.39</v>
      </c>
      <c r="P91" s="772">
        <v>416.32</v>
      </c>
      <c r="Q91" s="772">
        <v>415.98</v>
      </c>
      <c r="R91" s="772">
        <v>415.58</v>
      </c>
      <c r="S91" s="772">
        <v>415.65</v>
      </c>
      <c r="T91" s="772">
        <v>415.75</v>
      </c>
      <c r="U91" s="772">
        <v>421.71</v>
      </c>
      <c r="V91" s="772">
        <v>431.49</v>
      </c>
      <c r="W91" s="772">
        <v>439.37</v>
      </c>
      <c r="X91" s="772">
        <v>443.93</v>
      </c>
      <c r="Y91" s="772">
        <v>447.13</v>
      </c>
      <c r="Z91" s="772">
        <v>460.47</v>
      </c>
      <c r="AA91" s="772">
        <v>460.94</v>
      </c>
      <c r="AB91" s="772">
        <v>460.9</v>
      </c>
      <c r="AC91" s="772">
        <v>460.97</v>
      </c>
      <c r="AD91" s="772">
        <v>461.31</v>
      </c>
      <c r="AE91" s="772">
        <v>743.27</v>
      </c>
      <c r="AF91" s="772">
        <v>788.92399999999998</v>
      </c>
      <c r="AG91" s="772">
        <v>755.21199999999999</v>
      </c>
      <c r="AH91" s="772">
        <v>757.45500000000004</v>
      </c>
      <c r="AI91" s="772">
        <v>832.57799999999997</v>
      </c>
      <c r="AJ91" s="772">
        <v>838.48919999999998</v>
      </c>
      <c r="AK91" s="772">
        <v>906.39400000000001</v>
      </c>
      <c r="AL91" s="772">
        <v>914.56029999999998</v>
      </c>
      <c r="AM91" s="773">
        <v>1662.85</v>
      </c>
      <c r="AN91" s="772">
        <v>1365.3789999999999</v>
      </c>
      <c r="AO91" s="772">
        <v>1327.85</v>
      </c>
      <c r="AP91" s="772">
        <v>1328.04</v>
      </c>
      <c r="AQ91" s="772">
        <v>1513.7349999999999</v>
      </c>
      <c r="AR91" s="772">
        <v>1610.067</v>
      </c>
      <c r="AS91" s="772">
        <v>1592.15</v>
      </c>
      <c r="AT91" s="772">
        <v>1660.3330000000001</v>
      </c>
      <c r="AU91" s="772">
        <v>1651.6610000000001</v>
      </c>
      <c r="AV91" s="772">
        <v>1663.896</v>
      </c>
      <c r="AW91" s="772">
        <v>1536.9275</v>
      </c>
      <c r="AX91" s="774">
        <v>1533.2629999999999</v>
      </c>
      <c r="AY91" s="775">
        <v>1499.1102000000001</v>
      </c>
      <c r="AZ91" s="774">
        <v>1531.1886999999999</v>
      </c>
      <c r="BA91" s="774">
        <v>1599.5491</v>
      </c>
      <c r="BB91" s="774">
        <v>1590.7471</v>
      </c>
      <c r="BC91" s="774">
        <v>1539.2358999999999</v>
      </c>
      <c r="BD91" s="774">
        <v>1533.1822999999999</v>
      </c>
      <c r="BE91" s="774">
        <v>1535.4746</v>
      </c>
      <c r="BF91" s="775">
        <v>1487.3651</v>
      </c>
      <c r="BG91" s="774">
        <v>1460.4938999999999</v>
      </c>
      <c r="BH91" s="775">
        <v>1446.3155999999999</v>
      </c>
      <c r="BI91" s="774">
        <v>1456.5636999999999</v>
      </c>
      <c r="BJ91" s="776">
        <v>1396.9909</v>
      </c>
    </row>
    <row r="92" spans="1:62" s="719" customFormat="1">
      <c r="C92" s="719">
        <v>0</v>
      </c>
      <c r="D92" s="719">
        <v>0</v>
      </c>
      <c r="E92" s="719">
        <v>0</v>
      </c>
      <c r="F92" s="719">
        <v>0</v>
      </c>
      <c r="G92" s="719">
        <v>0</v>
      </c>
      <c r="H92" s="719">
        <v>0</v>
      </c>
      <c r="I92" s="719">
        <v>0</v>
      </c>
      <c r="J92" s="719">
        <v>0</v>
      </c>
      <c r="K92" s="719">
        <v>0</v>
      </c>
      <c r="L92" s="719">
        <v>0</v>
      </c>
      <c r="M92" s="719">
        <v>0</v>
      </c>
      <c r="N92" s="719">
        <v>0</v>
      </c>
      <c r="O92" s="719">
        <v>0</v>
      </c>
      <c r="P92" s="719">
        <v>0</v>
      </c>
      <c r="Q92" s="719">
        <v>0</v>
      </c>
      <c r="R92" s="719">
        <v>0</v>
      </c>
      <c r="S92" s="719">
        <v>0</v>
      </c>
      <c r="T92" s="719">
        <v>0</v>
      </c>
      <c r="U92" s="719">
        <v>0</v>
      </c>
      <c r="V92" s="719">
        <v>0</v>
      </c>
      <c r="W92" s="719">
        <v>0</v>
      </c>
      <c r="X92" s="719">
        <v>0</v>
      </c>
      <c r="Y92" s="719">
        <v>0</v>
      </c>
      <c r="Z92" s="719">
        <v>0</v>
      </c>
      <c r="AA92" s="719">
        <v>0</v>
      </c>
      <c r="AB92" s="719">
        <v>0</v>
      </c>
      <c r="AC92" s="719">
        <v>0</v>
      </c>
      <c r="AD92" s="719">
        <v>0</v>
      </c>
      <c r="AE92" s="777">
        <f>MAX(AE89:AE91)</f>
        <v>743.27</v>
      </c>
      <c r="AF92" s="719">
        <v>0</v>
      </c>
      <c r="AG92" s="719">
        <v>0</v>
      </c>
      <c r="AH92" s="719">
        <v>0</v>
      </c>
      <c r="AI92" s="719">
        <v>0</v>
      </c>
      <c r="AJ92" s="719">
        <v>0</v>
      </c>
      <c r="AK92" s="719">
        <v>0</v>
      </c>
      <c r="AL92" s="719">
        <v>0</v>
      </c>
      <c r="AM92" s="732">
        <v>0</v>
      </c>
      <c r="AN92" s="719">
        <v>0</v>
      </c>
      <c r="AO92" s="719">
        <v>0</v>
      </c>
      <c r="AP92" s="719">
        <v>0</v>
      </c>
      <c r="AQ92" s="719">
        <v>0</v>
      </c>
      <c r="AR92" s="719">
        <v>0</v>
      </c>
      <c r="AS92" s="719">
        <v>0</v>
      </c>
      <c r="AT92" s="719">
        <v>0</v>
      </c>
      <c r="AU92" s="719">
        <v>0</v>
      </c>
      <c r="AV92" s="719">
        <v>0</v>
      </c>
      <c r="AW92" s="719">
        <v>0</v>
      </c>
      <c r="AX92" s="719">
        <v>0</v>
      </c>
      <c r="AY92" s="732">
        <v>0</v>
      </c>
      <c r="AZ92" s="719">
        <v>0</v>
      </c>
      <c r="BA92" s="719">
        <v>0</v>
      </c>
      <c r="BB92" s="719">
        <v>0</v>
      </c>
      <c r="BC92" s="719">
        <v>0</v>
      </c>
      <c r="BD92" s="719">
        <v>0</v>
      </c>
      <c r="BE92" s="719">
        <v>0</v>
      </c>
      <c r="BF92" s="732">
        <v>0</v>
      </c>
      <c r="BG92" s="719">
        <v>0</v>
      </c>
      <c r="BH92" s="732">
        <v>0</v>
      </c>
      <c r="BI92" s="719">
        <v>0</v>
      </c>
      <c r="BJ92" s="719">
        <v>0</v>
      </c>
    </row>
    <row r="96" spans="1:62">
      <c r="B96" s="377" t="s">
        <v>670</v>
      </c>
      <c r="C96" s="699">
        <f>AVERAGE(C55:AD55)</f>
        <v>19481358456.945442</v>
      </c>
    </row>
    <row r="97" spans="2:3">
      <c r="B97" s="377" t="s">
        <v>671</v>
      </c>
      <c r="C97" s="699">
        <f>AVERAGE(AE55:AL55)</f>
        <v>61012016925.385979</v>
      </c>
    </row>
    <row r="98" spans="2:3">
      <c r="B98" s="377" t="s">
        <v>672</v>
      </c>
      <c r="C98" s="699">
        <f>AVERAGE(AM55:AX55)</f>
        <v>161768850678.84586</v>
      </c>
    </row>
    <row r="99" spans="2:3">
      <c r="B99" s="377" t="s">
        <v>673</v>
      </c>
      <c r="C99" s="699">
        <f>AVERAGE(AY55:BJ55)</f>
        <v>160774732082.05875</v>
      </c>
    </row>
    <row r="100" spans="2:3">
      <c r="C100" s="699"/>
    </row>
    <row r="101" spans="2:3">
      <c r="B101" s="377" t="s">
        <v>674</v>
      </c>
      <c r="C101" s="778">
        <f>(C97-C96)*12</f>
        <v>498367901621.28644</v>
      </c>
    </row>
    <row r="102" spans="2:3">
      <c r="B102" s="377" t="s">
        <v>675</v>
      </c>
      <c r="C102" s="778">
        <f>(C98-C96)*12</f>
        <v>1707449906662.8052</v>
      </c>
    </row>
    <row r="103" spans="2:3">
      <c r="B103" s="377" t="s">
        <v>676</v>
      </c>
      <c r="C103" s="778">
        <f>(C99-C96)*12</f>
        <v>1695520483501.3599</v>
      </c>
    </row>
  </sheetData>
  <mergeCells count="5">
    <mergeCell ref="A13:A25"/>
    <mergeCell ref="A28:A39"/>
    <mergeCell ref="A43:A55"/>
    <mergeCell ref="A58:A85"/>
    <mergeCell ref="A89:A9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EE973-135D-4F99-B3CB-88B5369B4844}">
  <sheetPr>
    <tabColor theme="7"/>
  </sheetPr>
  <dimension ref="A2:K192"/>
  <sheetViews>
    <sheetView workbookViewId="0">
      <selection activeCell="B1" sqref="B1"/>
    </sheetView>
  </sheetViews>
  <sheetFormatPr defaultColWidth="9.140625" defaultRowHeight="14.1"/>
  <cols>
    <col min="1" max="1" width="6.42578125" style="805" bestFit="1" customWidth="1"/>
    <col min="2" max="2" width="44.85546875" style="805" customWidth="1"/>
    <col min="3" max="3" width="64.28515625" style="805" customWidth="1"/>
    <col min="4" max="4" width="29" style="805" customWidth="1"/>
    <col min="5" max="5" width="29.42578125" style="805" customWidth="1"/>
    <col min="6" max="6" width="30.85546875" style="805" bestFit="1" customWidth="1"/>
    <col min="7" max="7" width="32.28515625" style="805" customWidth="1"/>
    <col min="8" max="8" width="30" style="805" customWidth="1"/>
    <col min="9" max="9" width="28.28515625" style="805" customWidth="1"/>
    <col min="10" max="10" width="32.42578125" style="805" customWidth="1"/>
    <col min="11" max="11" width="19" style="805" bestFit="1" customWidth="1"/>
    <col min="12" max="16384" width="9.140625" style="805"/>
  </cols>
  <sheetData>
    <row r="2" spans="2:4" s="820" customFormat="1" ht="15" thickBot="1">
      <c r="B2" s="830" t="s">
        <v>677</v>
      </c>
    </row>
    <row r="3" spans="2:4" s="820" customFormat="1">
      <c r="B3" s="823" t="s">
        <v>678</v>
      </c>
      <c r="C3" s="824" t="s">
        <v>679</v>
      </c>
      <c r="D3" s="826" t="s">
        <v>680</v>
      </c>
    </row>
    <row r="4" spans="2:4" s="820" customFormat="1">
      <c r="B4" s="1147"/>
      <c r="C4" s="1148"/>
      <c r="D4" s="1149" t="s">
        <v>681</v>
      </c>
    </row>
    <row r="5" spans="2:4" s="820" customFormat="1">
      <c r="B5" s="822" t="s">
        <v>682</v>
      </c>
      <c r="C5" s="821" t="s">
        <v>683</v>
      </c>
      <c r="D5" s="825">
        <v>250</v>
      </c>
    </row>
    <row r="6" spans="2:4" s="820" customFormat="1">
      <c r="B6" s="822" t="s">
        <v>684</v>
      </c>
      <c r="C6" s="821" t="s">
        <v>685</v>
      </c>
      <c r="D6" s="825">
        <f>(115.5+9.168)</f>
        <v>124.66800000000001</v>
      </c>
    </row>
    <row r="7" spans="2:4" s="820" customFormat="1">
      <c r="B7" s="822" t="s">
        <v>686</v>
      </c>
      <c r="C7" s="821" t="s">
        <v>687</v>
      </c>
      <c r="D7" s="825">
        <v>56.11</v>
      </c>
    </row>
    <row r="8" spans="2:4" s="820" customFormat="1">
      <c r="B8" s="822" t="s">
        <v>688</v>
      </c>
      <c r="C8" s="821" t="s">
        <v>689</v>
      </c>
      <c r="D8" s="825">
        <v>109.87</v>
      </c>
    </row>
    <row r="9" spans="2:4" s="820" customFormat="1" ht="14.25">
      <c r="B9" s="822" t="s">
        <v>690</v>
      </c>
      <c r="C9" s="821" t="s">
        <v>691</v>
      </c>
      <c r="D9" s="825">
        <f>278.9+87.148</f>
        <v>366.048</v>
      </c>
    </row>
    <row r="10" spans="2:4" s="820" customFormat="1" ht="14.25">
      <c r="B10" s="822" t="s">
        <v>692</v>
      </c>
      <c r="C10" s="821" t="s">
        <v>693</v>
      </c>
      <c r="D10" s="825">
        <v>38.5</v>
      </c>
    </row>
    <row r="11" spans="2:4" s="820" customFormat="1" ht="14.25">
      <c r="B11" s="822" t="s">
        <v>694</v>
      </c>
      <c r="C11" s="821" t="s">
        <v>695</v>
      </c>
      <c r="D11" s="825">
        <v>2234.38</v>
      </c>
    </row>
    <row r="12" spans="2:4" s="820" customFormat="1" ht="14.25">
      <c r="B12" s="822" t="s">
        <v>694</v>
      </c>
      <c r="C12" s="821" t="s">
        <v>696</v>
      </c>
      <c r="D12" s="825">
        <v>1113.55</v>
      </c>
    </row>
    <row r="13" spans="2:4" s="820" customFormat="1" ht="14.25">
      <c r="B13" s="822" t="s">
        <v>694</v>
      </c>
      <c r="C13" s="821" t="s">
        <v>697</v>
      </c>
      <c r="D13" s="825">
        <v>228.36</v>
      </c>
    </row>
    <row r="14" spans="2:4" s="820" customFormat="1" ht="14.25">
      <c r="B14" s="822" t="s">
        <v>698</v>
      </c>
      <c r="C14" s="821" t="s">
        <v>699</v>
      </c>
      <c r="D14" s="825">
        <v>106.07</v>
      </c>
    </row>
    <row r="15" spans="2:4" s="820" customFormat="1" ht="14.25">
      <c r="B15" s="822" t="s">
        <v>700</v>
      </c>
      <c r="C15" s="821" t="s">
        <v>701</v>
      </c>
      <c r="D15" s="825">
        <v>14.56</v>
      </c>
    </row>
    <row r="16" spans="2:4" s="820" customFormat="1" ht="14.25">
      <c r="B16" s="822" t="s">
        <v>702</v>
      </c>
      <c r="C16" s="821" t="s">
        <v>703</v>
      </c>
      <c r="D16" s="825">
        <v>37.799999999999997</v>
      </c>
    </row>
    <row r="17" spans="1:10" s="820" customFormat="1" ht="14.25">
      <c r="B17" s="822" t="s">
        <v>704</v>
      </c>
      <c r="C17" s="821" t="s">
        <v>705</v>
      </c>
      <c r="D17" s="825">
        <v>56</v>
      </c>
    </row>
    <row r="18" spans="1:10" s="820" customFormat="1" ht="14.25">
      <c r="B18" s="822" t="s">
        <v>706</v>
      </c>
      <c r="C18" s="821" t="s">
        <v>707</v>
      </c>
      <c r="D18" s="825">
        <v>43.91</v>
      </c>
    </row>
    <row r="19" spans="1:10" s="820" customFormat="1" ht="14.25">
      <c r="B19" s="822" t="s">
        <v>708</v>
      </c>
      <c r="C19" s="821" t="s">
        <v>709</v>
      </c>
      <c r="D19" s="825">
        <v>291.31</v>
      </c>
    </row>
    <row r="20" spans="1:10" s="820" customFormat="1" ht="14.25">
      <c r="B20" s="822" t="s">
        <v>710</v>
      </c>
      <c r="C20" s="821" t="s">
        <v>711</v>
      </c>
      <c r="D20" s="825">
        <v>489.3</v>
      </c>
    </row>
    <row r="21" spans="1:10" s="820" customFormat="1" ht="14.25">
      <c r="B21" s="822" t="s">
        <v>710</v>
      </c>
      <c r="C21" s="821" t="s">
        <v>712</v>
      </c>
      <c r="D21" s="825">
        <v>304.16000000000003</v>
      </c>
    </row>
    <row r="22" spans="1:10" s="820" customFormat="1" ht="14.25">
      <c r="B22" s="822" t="s">
        <v>713</v>
      </c>
      <c r="C22" s="821" t="s">
        <v>714</v>
      </c>
      <c r="D22" s="825">
        <v>44</v>
      </c>
    </row>
    <row r="23" spans="1:10" s="820" customFormat="1" ht="14.25">
      <c r="B23" s="822" t="s">
        <v>713</v>
      </c>
      <c r="C23" s="821" t="s">
        <v>715</v>
      </c>
      <c r="D23" s="825">
        <v>6.6</v>
      </c>
    </row>
    <row r="24" spans="1:10" s="820" customFormat="1" ht="14.25">
      <c r="B24" s="822" t="s">
        <v>716</v>
      </c>
      <c r="C24" s="821" t="s">
        <v>717</v>
      </c>
      <c r="D24" s="825">
        <v>25.29</v>
      </c>
    </row>
    <row r="25" spans="1:10" s="820" customFormat="1" ht="14.25">
      <c r="B25" s="822" t="s">
        <v>718</v>
      </c>
      <c r="C25" s="821" t="s">
        <v>719</v>
      </c>
      <c r="D25" s="825">
        <v>82.95</v>
      </c>
    </row>
    <row r="26" spans="1:10" s="820" customFormat="1" ht="14.25">
      <c r="B26" s="822" t="s">
        <v>720</v>
      </c>
      <c r="C26" s="821" t="s">
        <v>721</v>
      </c>
      <c r="D26" s="825">
        <v>29.94</v>
      </c>
    </row>
    <row r="27" spans="1:10" s="820" customFormat="1" ht="14.25">
      <c r="B27" s="822" t="s">
        <v>722</v>
      </c>
      <c r="C27" s="821" t="s">
        <v>723</v>
      </c>
      <c r="D27" s="825">
        <v>7</v>
      </c>
    </row>
    <row r="28" spans="1:10" s="820" customFormat="1" ht="14.25">
      <c r="B28" s="822" t="s">
        <v>724</v>
      </c>
      <c r="C28" s="821" t="s">
        <v>725</v>
      </c>
      <c r="D28" s="825">
        <v>5</v>
      </c>
    </row>
    <row r="29" spans="1:10" s="820" customFormat="1" ht="14.25">
      <c r="B29" s="822" t="s">
        <v>726</v>
      </c>
      <c r="C29" s="821"/>
      <c r="D29" s="825">
        <v>400</v>
      </c>
    </row>
    <row r="30" spans="1:10" s="820" customFormat="1" ht="15" thickBot="1">
      <c r="B30" s="827" t="s">
        <v>25</v>
      </c>
      <c r="C30" s="828"/>
      <c r="D30" s="829">
        <f>SUM(D5:D29)</f>
        <v>6465.3760000000002</v>
      </c>
    </row>
    <row r="31" spans="1:10" s="820" customFormat="1"/>
    <row r="32" spans="1:10">
      <c r="A32" s="1238" t="s">
        <v>727</v>
      </c>
      <c r="B32" s="1238"/>
      <c r="C32" s="1238"/>
      <c r="D32" s="1238"/>
      <c r="E32" s="1238"/>
      <c r="F32" s="1238"/>
      <c r="G32" s="1238"/>
      <c r="H32" s="1238"/>
      <c r="I32" s="1238"/>
      <c r="J32" s="1238"/>
    </row>
    <row r="33" spans="1:10">
      <c r="A33" s="1238" t="s">
        <v>728</v>
      </c>
      <c r="B33" s="1238"/>
      <c r="C33" s="1238"/>
      <c r="D33" s="1238"/>
      <c r="E33" s="1238"/>
      <c r="F33" s="1238"/>
      <c r="G33" s="1238"/>
      <c r="H33" s="1238"/>
      <c r="I33" s="1238"/>
      <c r="J33" s="1238"/>
    </row>
    <row r="34" spans="1:10">
      <c r="A34" s="1238" t="s">
        <v>729</v>
      </c>
      <c r="B34" s="1238"/>
      <c r="C34" s="1238"/>
      <c r="D34" s="1238"/>
      <c r="E34" s="1238"/>
      <c r="F34" s="1238"/>
      <c r="G34" s="1238"/>
      <c r="H34" s="1238"/>
      <c r="I34" s="1238"/>
      <c r="J34" s="1238"/>
    </row>
    <row r="35" spans="1:10" ht="46.5" customHeight="1">
      <c r="A35" s="1239" t="s">
        <v>730</v>
      </c>
      <c r="B35" s="1239"/>
      <c r="C35" s="1239"/>
      <c r="D35" s="1239"/>
      <c r="E35" s="1239"/>
      <c r="F35" s="1239"/>
      <c r="G35" s="1239"/>
      <c r="H35" s="1239"/>
      <c r="I35" s="1239"/>
      <c r="J35" s="1239"/>
    </row>
    <row r="36" spans="1:10" s="804" customFormat="1">
      <c r="A36" s="806" t="s">
        <v>731</v>
      </c>
      <c r="B36" s="806" t="s">
        <v>732</v>
      </c>
      <c r="C36" s="806" t="s">
        <v>733</v>
      </c>
      <c r="D36" s="806" t="s">
        <v>734</v>
      </c>
      <c r="E36" s="806" t="s">
        <v>735</v>
      </c>
      <c r="F36" s="806" t="s">
        <v>736</v>
      </c>
      <c r="G36" s="806" t="s">
        <v>737</v>
      </c>
      <c r="H36" s="806" t="s">
        <v>738</v>
      </c>
      <c r="I36" s="806" t="s">
        <v>739</v>
      </c>
      <c r="J36" s="806" t="s">
        <v>740</v>
      </c>
    </row>
    <row r="37" spans="1:10" ht="30">
      <c r="A37" s="807">
        <v>53</v>
      </c>
      <c r="B37" s="808" t="s">
        <v>682</v>
      </c>
      <c r="C37" s="816" t="s">
        <v>741</v>
      </c>
      <c r="D37" s="809"/>
      <c r="E37" s="809">
        <v>250000000000</v>
      </c>
      <c r="F37" s="809"/>
      <c r="G37" s="809"/>
      <c r="H37" s="809"/>
      <c r="I37" s="809"/>
      <c r="J37" s="809">
        <f>+E37-F37-H37-I37</f>
        <v>250000000000</v>
      </c>
    </row>
    <row r="38" spans="1:10" ht="45">
      <c r="A38" s="807">
        <v>16</v>
      </c>
      <c r="B38" s="808" t="s">
        <v>684</v>
      </c>
      <c r="C38" s="808" t="s">
        <v>742</v>
      </c>
      <c r="D38" s="809"/>
      <c r="E38" s="809">
        <v>115509772112</v>
      </c>
      <c r="F38" s="809"/>
      <c r="G38" s="809"/>
      <c r="H38" s="809"/>
      <c r="I38" s="809"/>
      <c r="J38" s="809">
        <f>+E38-F38-H38-I38</f>
        <v>115509772112</v>
      </c>
    </row>
    <row r="39" spans="1:10" ht="45">
      <c r="A39" s="807">
        <v>61</v>
      </c>
      <c r="B39" s="808" t="s">
        <v>684</v>
      </c>
      <c r="C39" s="808" t="s">
        <v>742</v>
      </c>
      <c r="D39" s="809"/>
      <c r="E39" s="809">
        <v>9168727887.7999992</v>
      </c>
      <c r="F39" s="809"/>
      <c r="G39" s="809"/>
      <c r="H39" s="809"/>
      <c r="I39" s="809"/>
      <c r="J39" s="809">
        <f>+E39-F39-H39-I39</f>
        <v>9168727887.7999992</v>
      </c>
    </row>
    <row r="40" spans="1:10" ht="30">
      <c r="A40" s="807">
        <v>20</v>
      </c>
      <c r="B40" s="808" t="s">
        <v>743</v>
      </c>
      <c r="C40" s="808" t="s">
        <v>744</v>
      </c>
      <c r="D40" s="809"/>
      <c r="E40" s="809">
        <v>56110815084.559998</v>
      </c>
      <c r="F40" s="809">
        <f>+E40*7.5/107.5</f>
        <v>3914708029.1553483</v>
      </c>
      <c r="G40" s="809">
        <f>+E40-F40</f>
        <v>52196107055.404648</v>
      </c>
      <c r="H40" s="809">
        <f>+G40*0.05</f>
        <v>2609805352.7702327</v>
      </c>
      <c r="I40" s="809">
        <f>+E40*1/100</f>
        <v>561108150.84560001</v>
      </c>
      <c r="J40" s="809">
        <f>+E40-F40-H40-I40</f>
        <v>49025193551.788818</v>
      </c>
    </row>
    <row r="41" spans="1:10" ht="88.5" customHeight="1">
      <c r="A41" s="807">
        <v>58</v>
      </c>
      <c r="B41" s="808" t="s">
        <v>688</v>
      </c>
      <c r="C41" s="808" t="s">
        <v>745</v>
      </c>
      <c r="D41" s="809"/>
      <c r="E41" s="809">
        <v>109865827452.00999</v>
      </c>
      <c r="F41" s="809"/>
      <c r="G41" s="809"/>
      <c r="H41" s="809"/>
      <c r="I41" s="809"/>
      <c r="J41" s="809">
        <f>+E41-F41-H41-I41</f>
        <v>109865827452.00999</v>
      </c>
    </row>
    <row r="42" spans="1:10" ht="15">
      <c r="A42" s="807">
        <v>2</v>
      </c>
      <c r="B42" s="808" t="s">
        <v>690</v>
      </c>
      <c r="C42" s="808" t="s">
        <v>746</v>
      </c>
      <c r="D42" s="809"/>
      <c r="E42" s="809">
        <v>482816755311.92999</v>
      </c>
      <c r="F42" s="809"/>
      <c r="G42" s="809"/>
      <c r="H42" s="809"/>
      <c r="I42" s="809"/>
      <c r="J42" s="809">
        <f>+E42-F42-H42-I42</f>
        <v>482816755311.92999</v>
      </c>
    </row>
    <row r="43" spans="1:10" ht="76.5" customHeight="1">
      <c r="A43" s="807">
        <v>9</v>
      </c>
      <c r="B43" s="808" t="s">
        <v>690</v>
      </c>
      <c r="C43" s="808" t="s">
        <v>747</v>
      </c>
      <c r="D43" s="809"/>
      <c r="E43" s="809">
        <v>278897438472.90002</v>
      </c>
      <c r="F43" s="809"/>
      <c r="G43" s="809">
        <f>+E43-F43</f>
        <v>278897438472.90002</v>
      </c>
      <c r="H43" s="809">
        <f>+G43*0.05</f>
        <v>13944871923.645002</v>
      </c>
      <c r="I43" s="809">
        <f>+E43*1/100</f>
        <v>2788974384.7290001</v>
      </c>
      <c r="J43" s="809">
        <f>+E43-F43-H43-I43</f>
        <v>262163592164.52603</v>
      </c>
    </row>
    <row r="44" spans="1:10" ht="87.75" customHeight="1">
      <c r="A44" s="807">
        <v>17</v>
      </c>
      <c r="B44" s="808" t="s">
        <v>690</v>
      </c>
      <c r="C44" s="808" t="s">
        <v>748</v>
      </c>
      <c r="D44" s="809"/>
      <c r="E44" s="809">
        <v>87148664017.509995</v>
      </c>
      <c r="F44" s="809"/>
      <c r="G44" s="809"/>
      <c r="H44" s="809"/>
      <c r="I44" s="809"/>
      <c r="J44" s="809">
        <f>+E44-F44-H44-I44</f>
        <v>87148664017.509995</v>
      </c>
    </row>
    <row r="45" spans="1:10" ht="60">
      <c r="A45" s="807">
        <v>62</v>
      </c>
      <c r="B45" s="808" t="s">
        <v>692</v>
      </c>
      <c r="C45" s="808" t="s">
        <v>749</v>
      </c>
      <c r="D45" s="809"/>
      <c r="E45" s="809">
        <v>38500000000</v>
      </c>
      <c r="F45" s="809"/>
      <c r="G45" s="809"/>
      <c r="H45" s="809"/>
      <c r="I45" s="809"/>
      <c r="J45" s="809">
        <f>+E45-F45-H45-I45</f>
        <v>38500000000</v>
      </c>
    </row>
    <row r="46" spans="1:10" ht="30">
      <c r="A46" s="807">
        <v>1</v>
      </c>
      <c r="B46" s="808" t="s">
        <v>694</v>
      </c>
      <c r="C46" s="808" t="s">
        <v>750</v>
      </c>
      <c r="D46" s="809"/>
      <c r="E46" s="809">
        <v>533943690574.31</v>
      </c>
      <c r="F46" s="809">
        <f>+E46*7.5/100</f>
        <v>40045776793.07325</v>
      </c>
      <c r="G46" s="809">
        <f>+E46-F46</f>
        <v>493897913781.23676</v>
      </c>
      <c r="H46" s="809">
        <f>+G46*0.05</f>
        <v>24694895689.06184</v>
      </c>
      <c r="I46" s="809">
        <f>+E46*1/100</f>
        <v>5339436905.7431002</v>
      </c>
      <c r="J46" s="809">
        <f>+E46-F46-H46-I46</f>
        <v>463863581186.43182</v>
      </c>
    </row>
    <row r="47" spans="1:10" ht="30">
      <c r="A47" s="807">
        <v>3</v>
      </c>
      <c r="B47" s="808" t="s">
        <v>694</v>
      </c>
      <c r="C47" s="808" t="s">
        <v>751</v>
      </c>
      <c r="D47" s="809">
        <v>428341539219.67999</v>
      </c>
      <c r="E47" s="809">
        <v>128502461765.89999</v>
      </c>
      <c r="F47" s="809">
        <f>+E47*7.5/107.5</f>
        <v>8965288030.1790695</v>
      </c>
      <c r="G47" s="809">
        <f>+E47-F47</f>
        <v>119537173735.72092</v>
      </c>
      <c r="H47" s="809">
        <f>+G47*0.05</f>
        <v>5976858686.786046</v>
      </c>
      <c r="I47" s="809">
        <f>+E47*1/100</f>
        <v>1285024617.6589999</v>
      </c>
      <c r="J47" s="809">
        <f>+E47-F47-H47-I47</f>
        <v>112275290431.27588</v>
      </c>
    </row>
    <row r="48" spans="1:10" ht="45">
      <c r="A48" s="807">
        <v>5</v>
      </c>
      <c r="B48" s="808" t="s">
        <v>694</v>
      </c>
      <c r="C48" s="808" t="s">
        <v>752</v>
      </c>
      <c r="D48" s="809">
        <v>947937401789.83997</v>
      </c>
      <c r="E48" s="809">
        <v>284381220536.95001</v>
      </c>
      <c r="F48" s="809">
        <f>+E48*7.5/107.5</f>
        <v>19840550270.019768</v>
      </c>
      <c r="G48" s="809">
        <f>+E48-F48</f>
        <v>264540670266.93024</v>
      </c>
      <c r="H48" s="809">
        <f>+G48*0.05</f>
        <v>13227033513.346512</v>
      </c>
      <c r="I48" s="809">
        <f>+E48*1/100</f>
        <v>2843812205.3695002</v>
      </c>
      <c r="J48" s="809">
        <f>+E48-F48-H48-I48</f>
        <v>248469824548.21423</v>
      </c>
    </row>
    <row r="49" spans="1:11" ht="30">
      <c r="A49" s="807">
        <v>6</v>
      </c>
      <c r="B49" s="808" t="s">
        <v>694</v>
      </c>
      <c r="C49" s="808" t="s">
        <v>753</v>
      </c>
      <c r="D49" s="809"/>
      <c r="E49" s="809">
        <v>85668307843.940002</v>
      </c>
      <c r="F49" s="809">
        <f>+E49*7.5/107.5</f>
        <v>5976858686.7865124</v>
      </c>
      <c r="G49" s="809">
        <f>+E49-F49</f>
        <v>79691449157.153488</v>
      </c>
      <c r="H49" s="809">
        <f>+G49*0.05</f>
        <v>3984572457.8576746</v>
      </c>
      <c r="I49" s="809">
        <f>+E49*1/100</f>
        <v>856683078.43940008</v>
      </c>
      <c r="J49" s="809">
        <f>+E49-F49-H49-I49</f>
        <v>74850193620.8564</v>
      </c>
    </row>
    <row r="50" spans="1:11" ht="111.75" customHeight="1">
      <c r="A50" s="807">
        <v>7</v>
      </c>
      <c r="B50" s="808" t="s">
        <v>694</v>
      </c>
      <c r="C50" s="808" t="s">
        <v>754</v>
      </c>
      <c r="D50" s="809"/>
      <c r="E50" s="809">
        <v>321877836874.63</v>
      </c>
      <c r="F50" s="809">
        <f>+E50*7.5/107.5</f>
        <v>22456593270.323025</v>
      </c>
      <c r="G50" s="809">
        <f>+E50-F50</f>
        <v>299421243604.30701</v>
      </c>
      <c r="H50" s="809">
        <f>+G50*0.05</f>
        <v>14971062180.215351</v>
      </c>
      <c r="I50" s="809">
        <f>+E50*1/100</f>
        <v>3218778368.7463002</v>
      </c>
      <c r="J50" s="809">
        <f>+E50-F50-H50-I50</f>
        <v>281231403055.3454</v>
      </c>
    </row>
    <row r="51" spans="1:11" ht="90" customHeight="1">
      <c r="A51" s="807">
        <v>8</v>
      </c>
      <c r="B51" s="808" t="s">
        <v>694</v>
      </c>
      <c r="C51" s="808" t="s">
        <v>755</v>
      </c>
      <c r="D51" s="809"/>
      <c r="E51" s="809">
        <v>189587480357.97</v>
      </c>
      <c r="F51" s="809">
        <f>+E51*7.5/107.5</f>
        <v>13227033513.346743</v>
      </c>
      <c r="G51" s="809">
        <f>+E51-F51</f>
        <v>176360446844.62326</v>
      </c>
      <c r="H51" s="809">
        <f>+G51*0.05</f>
        <v>8818022342.231163</v>
      </c>
      <c r="I51" s="809">
        <f>+E51*1/100</f>
        <v>1895874803.5797</v>
      </c>
      <c r="J51" s="809">
        <f>+E51-F51-H51-I51</f>
        <v>165646549698.81238</v>
      </c>
    </row>
    <row r="52" spans="1:11" ht="30">
      <c r="A52" s="807">
        <v>10</v>
      </c>
      <c r="B52" s="808" t="s">
        <v>694</v>
      </c>
      <c r="C52" s="808" t="s">
        <v>756</v>
      </c>
      <c r="D52" s="809"/>
      <c r="E52" s="809">
        <v>150000000000</v>
      </c>
      <c r="F52" s="809">
        <f>+E52*7.5/107.5</f>
        <v>10465116279.069767</v>
      </c>
      <c r="G52" s="809">
        <f>+E52-F52</f>
        <v>139534883720.93024</v>
      </c>
      <c r="H52" s="809">
        <f>+G52*0.05</f>
        <v>6976744186.0465126</v>
      </c>
      <c r="I52" s="809">
        <f>+E52*1/100</f>
        <v>1500000000</v>
      </c>
      <c r="J52" s="809">
        <f>+E52-F52-H52-I52</f>
        <v>131058139534.88373</v>
      </c>
    </row>
    <row r="53" spans="1:11" ht="30">
      <c r="A53" s="807">
        <v>11</v>
      </c>
      <c r="B53" s="808" t="s">
        <v>694</v>
      </c>
      <c r="C53" s="808" t="s">
        <v>756</v>
      </c>
      <c r="D53" s="809"/>
      <c r="E53" s="809">
        <v>150341470177.85999</v>
      </c>
      <c r="F53" s="809">
        <f>+E53*7.5/107.5</f>
        <v>10488939779.850697</v>
      </c>
      <c r="G53" s="809">
        <f>+E53-F53</f>
        <v>139852530398.00928</v>
      </c>
      <c r="H53" s="809">
        <f>+G53*0.05</f>
        <v>6992626519.9004641</v>
      </c>
      <c r="I53" s="809">
        <f>+E53*1/100</f>
        <v>1503414701.7785997</v>
      </c>
      <c r="J53" s="809">
        <f>+E53-F53-H53-I53</f>
        <v>131356489176.33022</v>
      </c>
    </row>
    <row r="54" spans="1:11" ht="50.25" customHeight="1">
      <c r="A54" s="807">
        <v>12</v>
      </c>
      <c r="B54" s="808" t="s">
        <v>694</v>
      </c>
      <c r="C54" s="808" t="s">
        <v>756</v>
      </c>
      <c r="D54" s="809"/>
      <c r="E54" s="809">
        <v>50000000000</v>
      </c>
      <c r="F54" s="809">
        <f>+E54*7.5/107.5</f>
        <v>3488372093.0232558</v>
      </c>
      <c r="G54" s="809">
        <f>+E54-F54</f>
        <v>46511627906.976746</v>
      </c>
      <c r="H54" s="809">
        <f>+G54*0.05</f>
        <v>2325581395.3488374</v>
      </c>
      <c r="I54" s="809">
        <f>+E54*1/100</f>
        <v>500000000</v>
      </c>
      <c r="J54" s="809">
        <f>+E54-F54-H54-I54</f>
        <v>43686046511.627907</v>
      </c>
    </row>
    <row r="55" spans="1:11" ht="30">
      <c r="A55" s="807">
        <v>13</v>
      </c>
      <c r="B55" s="808" t="s">
        <v>694</v>
      </c>
      <c r="C55" s="808" t="s">
        <v>756</v>
      </c>
      <c r="D55" s="809"/>
      <c r="E55" s="809">
        <v>50000000000</v>
      </c>
      <c r="F55" s="809">
        <f>+E55*7.5/107.5</f>
        <v>3488372093.0232558</v>
      </c>
      <c r="G55" s="809">
        <f>+E55-F55</f>
        <v>46511627906.976746</v>
      </c>
      <c r="H55" s="809">
        <f>+G55*0.05</f>
        <v>2325581395.3488374</v>
      </c>
      <c r="I55" s="809">
        <f>+E55*1/100</f>
        <v>500000000</v>
      </c>
      <c r="J55" s="809">
        <f>+E55-F55-H55-I55</f>
        <v>43686046511.627907</v>
      </c>
    </row>
    <row r="56" spans="1:11" ht="30">
      <c r="A56" s="807">
        <v>18</v>
      </c>
      <c r="B56" s="808" t="s">
        <v>694</v>
      </c>
      <c r="C56" s="808" t="s">
        <v>757</v>
      </c>
      <c r="D56" s="809">
        <v>769087883202.43994</v>
      </c>
      <c r="E56" s="809">
        <v>114177950547.08</v>
      </c>
      <c r="F56" s="809">
        <f>+E56*7.5/107.5</f>
        <v>7965903526.5404654</v>
      </c>
      <c r="G56" s="809">
        <f>+E56-F56</f>
        <v>106212047020.53954</v>
      </c>
      <c r="H56" s="809">
        <f>+G56*0.05</f>
        <v>5310602351.0269775</v>
      </c>
      <c r="I56" s="809">
        <f>+E56*1/100</f>
        <v>1141779505.4707999</v>
      </c>
      <c r="J56" s="809">
        <f>+E56-F56-H56-I56</f>
        <v>99759665164.041763</v>
      </c>
    </row>
    <row r="57" spans="1:11" ht="30">
      <c r="A57" s="807">
        <v>19</v>
      </c>
      <c r="B57" s="808" t="s">
        <v>694</v>
      </c>
      <c r="C57" s="808" t="s">
        <v>757</v>
      </c>
      <c r="D57" s="809"/>
      <c r="E57" s="809">
        <v>114177950547.08</v>
      </c>
      <c r="F57" s="809">
        <f>+E57*7.5/107.5</f>
        <v>7965903526.5404654</v>
      </c>
      <c r="G57" s="809">
        <f>+E57-F57</f>
        <v>106212047020.53954</v>
      </c>
      <c r="H57" s="809">
        <f>+G57*0.05</f>
        <v>5310602351.0269775</v>
      </c>
      <c r="I57" s="809">
        <f>+E57*1/100</f>
        <v>1141779505.4707999</v>
      </c>
      <c r="J57" s="809">
        <f>+E57-F57-H57-I57</f>
        <v>99759665164.041763</v>
      </c>
    </row>
    <row r="58" spans="1:11" ht="62.25" customHeight="1">
      <c r="A58" s="807">
        <v>22</v>
      </c>
      <c r="B58" s="808" t="s">
        <v>698</v>
      </c>
      <c r="C58" s="808" t="s">
        <v>758</v>
      </c>
      <c r="D58" s="809"/>
      <c r="E58" s="809">
        <v>106068847732.10001</v>
      </c>
      <c r="F58" s="809">
        <f>+E58*7.5/107.5</f>
        <v>7400152167.355814</v>
      </c>
      <c r="G58" s="809">
        <f>+E58-F58</f>
        <v>98668695564.744186</v>
      </c>
      <c r="H58" s="809">
        <f>+G58*0.05</f>
        <v>4933434778.2372093</v>
      </c>
      <c r="I58" s="809">
        <f>+E58*1/100</f>
        <v>1060688477.3210001</v>
      </c>
      <c r="J58" s="809">
        <f>+E58-F58-H58-I58</f>
        <v>92674572309.185974</v>
      </c>
    </row>
    <row r="59" spans="1:11" ht="78" customHeight="1">
      <c r="A59" s="807">
        <v>59</v>
      </c>
      <c r="B59" s="808" t="s">
        <v>700</v>
      </c>
      <c r="C59" s="808" t="s">
        <v>759</v>
      </c>
      <c r="D59" s="809"/>
      <c r="E59" s="809">
        <v>14564672933.35</v>
      </c>
      <c r="F59" s="809">
        <f>+E59*7.5/107.5</f>
        <v>1016139972.0941861</v>
      </c>
      <c r="G59" s="809">
        <f>+E59-F59</f>
        <v>13548532961.255814</v>
      </c>
      <c r="H59" s="809">
        <f>+G59*0.025</f>
        <v>338713324.03139538</v>
      </c>
      <c r="I59" s="809"/>
      <c r="J59" s="809">
        <f>+E59-F59-H59-I59</f>
        <v>13209819637.224419</v>
      </c>
    </row>
    <row r="60" spans="1:11" ht="77.25" customHeight="1">
      <c r="A60" s="807">
        <v>24</v>
      </c>
      <c r="B60" s="808" t="s">
        <v>760</v>
      </c>
      <c r="C60" s="808" t="s">
        <v>761</v>
      </c>
      <c r="D60" s="809"/>
      <c r="E60" s="809">
        <v>37800000000</v>
      </c>
      <c r="F60" s="809">
        <f>+E60*7.5/107.5</f>
        <v>2637209302.3255816</v>
      </c>
      <c r="G60" s="809">
        <f>+E60-F60</f>
        <v>35162790697.674416</v>
      </c>
      <c r="H60" s="809">
        <f>+G60*0.05</f>
        <v>1758139534.8837209</v>
      </c>
      <c r="I60" s="809">
        <f>+E60*1/100</f>
        <v>378000000</v>
      </c>
      <c r="J60" s="809">
        <f>+E60-F60-H60-I60</f>
        <v>33026651162.790695</v>
      </c>
    </row>
    <row r="61" spans="1:11" ht="45">
      <c r="A61" s="807">
        <v>27</v>
      </c>
      <c r="B61" s="808" t="s">
        <v>762</v>
      </c>
      <c r="C61" s="808" t="s">
        <v>763</v>
      </c>
      <c r="D61" s="809"/>
      <c r="E61" s="809">
        <v>56000000000</v>
      </c>
      <c r="F61" s="809">
        <f>+E61*7.5/107.5</f>
        <v>3906976744.1860466</v>
      </c>
      <c r="G61" s="809">
        <f>+E61-F61</f>
        <v>52093023255.81395</v>
      </c>
      <c r="H61" s="809">
        <f>+G61*0.05</f>
        <v>2604651162.7906976</v>
      </c>
      <c r="I61" s="809">
        <f>+E61*1/100</f>
        <v>560000000</v>
      </c>
      <c r="J61" s="809">
        <f>+E61-F61-H61-I61</f>
        <v>48928372093.023254</v>
      </c>
    </row>
    <row r="62" spans="1:11" ht="45">
      <c r="A62" s="807">
        <v>56</v>
      </c>
      <c r="B62" s="808" t="s">
        <v>764</v>
      </c>
      <c r="C62" s="816" t="s">
        <v>765</v>
      </c>
      <c r="D62" s="817"/>
      <c r="E62" s="809">
        <v>43905777673.82</v>
      </c>
      <c r="F62" s="809">
        <f>+E62*7.5/107.5</f>
        <v>3063193791.1967444</v>
      </c>
      <c r="G62" s="809">
        <f>+E62-F62</f>
        <v>40842583882.623253</v>
      </c>
      <c r="H62" s="809">
        <f>+G62*0.025</f>
        <v>1021064597.0655813</v>
      </c>
      <c r="I62" s="809"/>
      <c r="J62" s="809">
        <f>+E62-F62-H62-I62</f>
        <v>39821519285.557671</v>
      </c>
    </row>
    <row r="63" spans="1:11" ht="30">
      <c r="A63" s="807">
        <v>51</v>
      </c>
      <c r="B63" s="808" t="s">
        <v>766</v>
      </c>
      <c r="C63" s="808" t="s">
        <v>767</v>
      </c>
      <c r="D63" s="809"/>
      <c r="E63" s="809">
        <v>111378704805.19</v>
      </c>
      <c r="F63" s="809">
        <f>+E63*7.5/107.5</f>
        <v>7770607311.9900007</v>
      </c>
      <c r="G63" s="809">
        <f>+E63-F63</f>
        <v>103608097493.2</v>
      </c>
      <c r="H63" s="809">
        <f>+G63*0.025</f>
        <v>2590202437.3299999</v>
      </c>
      <c r="I63" s="809">
        <f>+E63*1/100</f>
        <v>1113787048.0518999</v>
      </c>
      <c r="J63" s="809">
        <f>+E63-F63-H63-I63</f>
        <v>99904108007.8181</v>
      </c>
    </row>
    <row r="64" spans="1:11" ht="30">
      <c r="A64" s="807">
        <v>52</v>
      </c>
      <c r="B64" s="808" t="s">
        <v>766</v>
      </c>
      <c r="C64" s="808" t="s">
        <v>767</v>
      </c>
      <c r="D64" s="809"/>
      <c r="E64" s="809">
        <v>179931346805.22</v>
      </c>
      <c r="F64" s="809">
        <f>+E64*7.5/107.5</f>
        <v>12553349777.108372</v>
      </c>
      <c r="G64" s="809">
        <f>+E64-F64</f>
        <v>167377997028.11163</v>
      </c>
      <c r="H64" s="809">
        <f>+G64*0.025</f>
        <v>4184449925.7027912</v>
      </c>
      <c r="I64" s="809">
        <f>+E64*1/100</f>
        <v>1799313468.0522001</v>
      </c>
      <c r="J64" s="809">
        <f>+E64-F64-H64-I64</f>
        <v>161394233634.35666</v>
      </c>
      <c r="K64" s="810"/>
    </row>
    <row r="65" spans="1:10" ht="30">
      <c r="A65" s="807">
        <v>32</v>
      </c>
      <c r="B65" s="808" t="s">
        <v>768</v>
      </c>
      <c r="C65" s="808" t="s">
        <v>769</v>
      </c>
      <c r="D65" s="809"/>
      <c r="E65" s="809">
        <v>123851199517.38</v>
      </c>
      <c r="F65" s="809">
        <f>+E65*7.5/107.5</f>
        <v>8640781361.6776752</v>
      </c>
      <c r="G65" s="809">
        <f>+E65-F65</f>
        <v>115210418155.70233</v>
      </c>
      <c r="H65" s="809">
        <f>+G65*0.025</f>
        <v>2880260453.8925586</v>
      </c>
      <c r="I65" s="809">
        <f>+E65*1/100</f>
        <v>1238511995.1738</v>
      </c>
      <c r="J65" s="809">
        <f>+E65-F65-H65-I65</f>
        <v>111091645706.63597</v>
      </c>
    </row>
    <row r="66" spans="1:10" ht="30">
      <c r="A66" s="807">
        <v>33</v>
      </c>
      <c r="B66" s="808" t="s">
        <v>768</v>
      </c>
      <c r="C66" s="808" t="s">
        <v>769</v>
      </c>
      <c r="D66" s="809"/>
      <c r="E66" s="809">
        <v>99080959613.910004</v>
      </c>
      <c r="F66" s="809">
        <f>+E66*7.5/107.5</f>
        <v>6912625089.3425589</v>
      </c>
      <c r="G66" s="809">
        <f>+E66-F66</f>
        <v>92168334524.567444</v>
      </c>
      <c r="H66" s="809">
        <f>+G66*0.025</f>
        <v>2304208363.1141863</v>
      </c>
      <c r="I66" s="809">
        <f>+E66*1/100</f>
        <v>990809596.13910007</v>
      </c>
      <c r="J66" s="809">
        <f>+E66-F66-H66-I66</f>
        <v>88873316565.314163</v>
      </c>
    </row>
    <row r="67" spans="1:10" ht="30">
      <c r="A67" s="807">
        <v>34</v>
      </c>
      <c r="B67" s="808" t="s">
        <v>768</v>
      </c>
      <c r="C67" s="808" t="s">
        <v>769</v>
      </c>
      <c r="D67" s="809"/>
      <c r="E67" s="809">
        <v>49540479806.949997</v>
      </c>
      <c r="F67" s="809">
        <f>+E67*7.5/107.5</f>
        <v>3456312544.6709304</v>
      </c>
      <c r="G67" s="809">
        <f>+E67-F67</f>
        <v>46084167262.279068</v>
      </c>
      <c r="H67" s="809">
        <f>+G67*0.025</f>
        <v>1152104181.5569768</v>
      </c>
      <c r="I67" s="809">
        <f>+E67*1/100</f>
        <v>495404798.06949997</v>
      </c>
      <c r="J67" s="809">
        <f>+E67-F67-H67-I67</f>
        <v>44436658282.652588</v>
      </c>
    </row>
    <row r="68" spans="1:10" ht="30">
      <c r="A68" s="807">
        <v>35</v>
      </c>
      <c r="B68" s="808" t="s">
        <v>768</v>
      </c>
      <c r="C68" s="808" t="s">
        <v>769</v>
      </c>
      <c r="D68" s="809"/>
      <c r="E68" s="809">
        <v>74310719710.429993</v>
      </c>
      <c r="F68" s="809">
        <f>+E68*7.5/107.5</f>
        <v>5184468817.0067444</v>
      </c>
      <c r="G68" s="809">
        <f>+E68-F68</f>
        <v>69126250893.423248</v>
      </c>
      <c r="H68" s="809">
        <f>+G68*0.025</f>
        <v>1728156272.3355813</v>
      </c>
      <c r="I68" s="809">
        <f>+E68*1/100</f>
        <v>743107197.1042999</v>
      </c>
      <c r="J68" s="809">
        <f>+E68-F68-H68-I68</f>
        <v>66654987423.983368</v>
      </c>
    </row>
    <row r="69" spans="1:10" ht="30">
      <c r="A69" s="807">
        <v>36</v>
      </c>
      <c r="B69" s="808" t="s">
        <v>768</v>
      </c>
      <c r="C69" s="808" t="s">
        <v>769</v>
      </c>
      <c r="D69" s="809"/>
      <c r="E69" s="809">
        <v>148621439420.85999</v>
      </c>
      <c r="F69" s="809">
        <f>+E69*7.5/107.5</f>
        <v>10368937634.013489</v>
      </c>
      <c r="G69" s="809">
        <f>+E69-F69</f>
        <v>138252501786.8465</v>
      </c>
      <c r="H69" s="809">
        <f>+G69*0.025</f>
        <v>3456312544.6711626</v>
      </c>
      <c r="I69" s="809">
        <f>+E69*1/100</f>
        <v>1486214394.2085998</v>
      </c>
      <c r="J69" s="809">
        <f>+E69-F69-H69-I69</f>
        <v>133309974847.96674</v>
      </c>
    </row>
    <row r="70" spans="1:10" ht="30">
      <c r="A70" s="807">
        <v>37</v>
      </c>
      <c r="B70" s="808" t="s">
        <v>768</v>
      </c>
      <c r="C70" s="808" t="s">
        <v>770</v>
      </c>
      <c r="D70" s="809"/>
      <c r="E70" s="809">
        <v>86512397054.5</v>
      </c>
      <c r="F70" s="809">
        <f>+E70*7.5/107.5</f>
        <v>6035748631.7093019</v>
      </c>
      <c r="G70" s="809">
        <f>+E70-F70</f>
        <v>80476648422.790695</v>
      </c>
      <c r="H70" s="809">
        <f>+G70*0.025</f>
        <v>2011916210.5697675</v>
      </c>
      <c r="I70" s="809">
        <f>+E70*1/100</f>
        <v>865123970.54499996</v>
      </c>
      <c r="J70" s="809">
        <f>+E70-F70-H70-I70</f>
        <v>77599608241.675934</v>
      </c>
    </row>
    <row r="71" spans="1:10" ht="30">
      <c r="A71" s="807">
        <v>38</v>
      </c>
      <c r="B71" s="808" t="s">
        <v>768</v>
      </c>
      <c r="C71" s="808" t="s">
        <v>770</v>
      </c>
      <c r="D71" s="809"/>
      <c r="E71" s="809">
        <v>57674931369.660004</v>
      </c>
      <c r="F71" s="809">
        <f>+E71*7.5/107.5</f>
        <v>4023832421.13907</v>
      </c>
      <c r="G71" s="809">
        <f>+E71-F71</f>
        <v>53651098948.520935</v>
      </c>
      <c r="H71" s="809">
        <f>+G71*0.025</f>
        <v>1341277473.7130234</v>
      </c>
      <c r="I71" s="809">
        <f>+E71*1/100</f>
        <v>576749313.69660008</v>
      </c>
      <c r="J71" s="809">
        <f>+E71-F71-H71-I71</f>
        <v>51733072161.111313</v>
      </c>
    </row>
    <row r="72" spans="1:10" ht="44.25" customHeight="1">
      <c r="A72" s="807">
        <v>39</v>
      </c>
      <c r="B72" s="808" t="s">
        <v>768</v>
      </c>
      <c r="C72" s="808" t="s">
        <v>770</v>
      </c>
      <c r="D72" s="809"/>
      <c r="E72" s="809">
        <v>28837465684.830002</v>
      </c>
      <c r="F72" s="809">
        <f>+E72*7.5/107.5</f>
        <v>2011916210.569535</v>
      </c>
      <c r="G72" s="809">
        <f>+E72-F72</f>
        <v>26825549474.260468</v>
      </c>
      <c r="H72" s="809">
        <f>+G72*0.025</f>
        <v>670638736.85651171</v>
      </c>
      <c r="I72" s="809">
        <f>+E72*1/100</f>
        <v>288374656.84830004</v>
      </c>
      <c r="J72" s="809">
        <f>+E72-F72-H72-I72</f>
        <v>25866536080.555656</v>
      </c>
    </row>
    <row r="73" spans="1:10" ht="64.5" customHeight="1">
      <c r="A73" s="807">
        <v>40</v>
      </c>
      <c r="B73" s="808" t="s">
        <v>768</v>
      </c>
      <c r="C73" s="808" t="s">
        <v>770</v>
      </c>
      <c r="D73" s="809"/>
      <c r="E73" s="809">
        <v>43256198527.25</v>
      </c>
      <c r="F73" s="809">
        <f>+E73*7.5/107.5</f>
        <v>3017874315.854651</v>
      </c>
      <c r="G73" s="809">
        <f>+E73-F73</f>
        <v>40238324211.395348</v>
      </c>
      <c r="H73" s="809">
        <f>+G73*0.025</f>
        <v>1005958105.2848837</v>
      </c>
      <c r="I73" s="809">
        <f>+E73*1/100</f>
        <v>432561985.27249998</v>
      </c>
      <c r="J73" s="809">
        <f>+E73-F73-H73-I73</f>
        <v>38799804120.837967</v>
      </c>
    </row>
    <row r="74" spans="1:10" ht="62.25" customHeight="1">
      <c r="A74" s="807">
        <v>41</v>
      </c>
      <c r="B74" s="808" t="s">
        <v>768</v>
      </c>
      <c r="C74" s="808" t="s">
        <v>770</v>
      </c>
      <c r="D74" s="809"/>
      <c r="E74" s="809">
        <v>72093664212.080002</v>
      </c>
      <c r="F74" s="809">
        <f>+E74*7.5/107.5</f>
        <v>5029790526.4241867</v>
      </c>
      <c r="G74" s="809">
        <f>+E74-F74</f>
        <v>67063873685.655815</v>
      </c>
      <c r="H74" s="809">
        <f>+G74*0.025</f>
        <v>1676596842.1413956</v>
      </c>
      <c r="I74" s="809">
        <f>+E74*1/100</f>
        <v>720936642.12080002</v>
      </c>
      <c r="J74" s="809">
        <f>+E74-F74-H74-I74</f>
        <v>64666340201.393616</v>
      </c>
    </row>
    <row r="75" spans="1:10" ht="59.25" customHeight="1">
      <c r="A75" s="807">
        <v>42</v>
      </c>
      <c r="B75" s="808" t="s">
        <v>768</v>
      </c>
      <c r="C75" s="808" t="s">
        <v>771</v>
      </c>
      <c r="D75" s="809"/>
      <c r="E75" s="809">
        <v>41112068252.860001</v>
      </c>
      <c r="F75" s="809">
        <f>+E75*7.5/107.5</f>
        <v>2868283831.5948839</v>
      </c>
      <c r="G75" s="809">
        <f>+E75-F75</f>
        <v>38243784421.265114</v>
      </c>
      <c r="H75" s="809">
        <f>+G75*0.025</f>
        <v>956094610.53162789</v>
      </c>
      <c r="I75" s="809">
        <f>+E75*1/100</f>
        <v>411120682.52859998</v>
      </c>
      <c r="J75" s="809">
        <f>+E75-F75-H75-I75</f>
        <v>36876569128.20488</v>
      </c>
    </row>
    <row r="76" spans="1:10" ht="63.75" customHeight="1">
      <c r="A76" s="807">
        <v>43</v>
      </c>
      <c r="B76" s="808" t="s">
        <v>768</v>
      </c>
      <c r="C76" s="808" t="s">
        <v>771</v>
      </c>
      <c r="D76" s="809"/>
      <c r="E76" s="809">
        <v>27408045501.91</v>
      </c>
      <c r="F76" s="809">
        <f>+E76*7.5/107.5</f>
        <v>1912189221.0634885</v>
      </c>
      <c r="G76" s="809">
        <f>+E76-F76</f>
        <v>25495856280.846512</v>
      </c>
      <c r="H76" s="809">
        <f>+G76*0.025</f>
        <v>637396407.02116287</v>
      </c>
      <c r="I76" s="809">
        <f>+E76*1/100</f>
        <v>274080455.01910001</v>
      </c>
      <c r="J76" s="809">
        <f>+E76-F76-H76-I76</f>
        <v>24584379418.806248</v>
      </c>
    </row>
    <row r="77" spans="1:10" ht="57.75" customHeight="1">
      <c r="A77" s="807">
        <v>44</v>
      </c>
      <c r="B77" s="808" t="s">
        <v>768</v>
      </c>
      <c r="C77" s="808" t="s">
        <v>771</v>
      </c>
      <c r="D77" s="809"/>
      <c r="E77" s="809">
        <v>13704022750.950001</v>
      </c>
      <c r="F77" s="809">
        <f>+E77*7.5/107.5</f>
        <v>956094610.53139532</v>
      </c>
      <c r="G77" s="809">
        <f>+E77-F77</f>
        <v>12747928140.418606</v>
      </c>
      <c r="H77" s="809">
        <f>+G77*0.025</f>
        <v>318698203.51046515</v>
      </c>
      <c r="I77" s="809">
        <f>+E77*1/100</f>
        <v>137040227.5095</v>
      </c>
      <c r="J77" s="809">
        <f>+E77-F77-H77-I77</f>
        <v>12292189709.39864</v>
      </c>
    </row>
    <row r="78" spans="1:10" ht="63.75" customHeight="1">
      <c r="A78" s="807">
        <v>45</v>
      </c>
      <c r="B78" s="808" t="s">
        <v>768</v>
      </c>
      <c r="C78" s="808" t="s">
        <v>771</v>
      </c>
      <c r="D78" s="809"/>
      <c r="E78" s="809">
        <v>20556034126.43</v>
      </c>
      <c r="F78" s="809">
        <f>+E78*7.5/107.5</f>
        <v>1434141915.797442</v>
      </c>
      <c r="G78" s="809">
        <f>+E78-F78</f>
        <v>19121892210.632557</v>
      </c>
      <c r="H78" s="809">
        <f>+G78*0.025</f>
        <v>478047305.26581395</v>
      </c>
      <c r="I78" s="809">
        <f>+E78*1/100</f>
        <v>205560341.26429999</v>
      </c>
      <c r="J78" s="809">
        <f>+E78-F78-H78-I78</f>
        <v>18438284564.10244</v>
      </c>
    </row>
    <row r="79" spans="1:10" ht="60" customHeight="1">
      <c r="A79" s="807">
        <v>46</v>
      </c>
      <c r="B79" s="808" t="s">
        <v>768</v>
      </c>
      <c r="C79" s="808" t="s">
        <v>771</v>
      </c>
      <c r="D79" s="809"/>
      <c r="E79" s="809">
        <v>34260056877.389999</v>
      </c>
      <c r="F79" s="809">
        <f>+E79*7.5/107.5</f>
        <v>2390236526.329535</v>
      </c>
      <c r="G79" s="809">
        <f>+E79-F79</f>
        <v>31869820351.060463</v>
      </c>
      <c r="H79" s="809">
        <f>+G79*0.025</f>
        <v>796745508.77651167</v>
      </c>
      <c r="I79" s="809">
        <f>+E79*1/100</f>
        <v>342600568.77389997</v>
      </c>
      <c r="J79" s="809">
        <f>+E79-F79-H79-I79</f>
        <v>30730474273.510052</v>
      </c>
    </row>
    <row r="80" spans="1:10" ht="60.75" customHeight="1">
      <c r="A80" s="807">
        <v>14</v>
      </c>
      <c r="B80" s="808" t="s">
        <v>772</v>
      </c>
      <c r="C80" s="808" t="s">
        <v>773</v>
      </c>
      <c r="D80" s="809"/>
      <c r="E80" s="809">
        <v>54280156330.010002</v>
      </c>
      <c r="F80" s="809">
        <f>+E80*7.5/107.5</f>
        <v>3786987650.9309301</v>
      </c>
      <c r="G80" s="809">
        <f>+E80-F80</f>
        <v>50493168679.079071</v>
      </c>
      <c r="H80" s="809">
        <f>+G80*0.05</f>
        <v>2524658433.9539537</v>
      </c>
      <c r="I80" s="809">
        <f>+E80*1/100</f>
        <v>542801563.30009997</v>
      </c>
      <c r="J80" s="809">
        <f>+E80-F80-H80-I80</f>
        <v>47425708681.825012</v>
      </c>
    </row>
    <row r="81" spans="1:10" ht="45">
      <c r="A81" s="807">
        <v>15</v>
      </c>
      <c r="B81" s="808" t="s">
        <v>772</v>
      </c>
      <c r="C81" s="808" t="s">
        <v>773</v>
      </c>
      <c r="D81" s="809"/>
      <c r="E81" s="809">
        <v>54280156330.010002</v>
      </c>
      <c r="F81" s="809">
        <f>+E81*7.5/107.5</f>
        <v>3786987650.9309301</v>
      </c>
      <c r="G81" s="809">
        <f>+E81-F81</f>
        <v>50493168679.079071</v>
      </c>
      <c r="H81" s="809">
        <f>+G81*0.05</f>
        <v>2524658433.9539537</v>
      </c>
      <c r="I81" s="809">
        <f>+E81*1/100</f>
        <v>542801563.30009997</v>
      </c>
      <c r="J81" s="809">
        <f>+E81-F81-H81-I81</f>
        <v>47425708681.825012</v>
      </c>
    </row>
    <row r="82" spans="1:10" ht="15">
      <c r="A82" s="811">
        <v>47</v>
      </c>
      <c r="B82" s="812" t="s">
        <v>774</v>
      </c>
      <c r="C82" s="812" t="s">
        <v>775</v>
      </c>
      <c r="D82" s="813"/>
      <c r="E82" s="813">
        <v>25195108249.529999</v>
      </c>
      <c r="F82" s="813">
        <f>+E82*7.5/107.5</f>
        <v>1757798249.9672091</v>
      </c>
      <c r="G82" s="813">
        <f>+E82-F82</f>
        <v>23437309999.56279</v>
      </c>
      <c r="H82" s="813">
        <f>+G82*0.025</f>
        <v>585932749.98906982</v>
      </c>
      <c r="I82" s="809">
        <f>+E82*1/100-(6298777.07)</f>
        <v>245652305.4253</v>
      </c>
      <c r="J82" s="809">
        <f>+E82-F82-H82-I82</f>
        <v>22605724944.148418</v>
      </c>
    </row>
    <row r="83" spans="1:10" ht="15">
      <c r="A83" s="807">
        <v>48</v>
      </c>
      <c r="B83" s="808" t="s">
        <v>774</v>
      </c>
      <c r="C83" s="808" t="s">
        <v>775</v>
      </c>
      <c r="D83" s="809"/>
      <c r="E83" s="809">
        <v>89170280606.369995</v>
      </c>
      <c r="F83" s="809">
        <f>+E83*7.5/107.5</f>
        <v>6221182367.8862782</v>
      </c>
      <c r="G83" s="809">
        <f>+E83-F83</f>
        <v>82949098238.483719</v>
      </c>
      <c r="H83" s="809">
        <f>+G83*0.025</f>
        <v>2073727455.9620931</v>
      </c>
      <c r="I83" s="809">
        <f>+E83*1/100</f>
        <v>891702806.06369996</v>
      </c>
      <c r="J83" s="809">
        <f>+E83-F83-H83-I83</f>
        <v>79983667976.457916</v>
      </c>
    </row>
    <row r="84" spans="1:10" ht="15">
      <c r="A84" s="807">
        <v>49</v>
      </c>
      <c r="B84" s="808" t="s">
        <v>774</v>
      </c>
      <c r="C84" s="808" t="s">
        <v>775</v>
      </c>
      <c r="D84" s="809"/>
      <c r="E84" s="809">
        <v>50577505972.529999</v>
      </c>
      <c r="F84" s="809">
        <f>+E84*7.5/107.5</f>
        <v>3528663207.3858137</v>
      </c>
      <c r="G84" s="809">
        <f>+E84-F84</f>
        <v>47048842765.144188</v>
      </c>
      <c r="H84" s="809">
        <f>+G84*0.025</f>
        <v>1176221069.1286047</v>
      </c>
      <c r="I84" s="809">
        <f>+E84*1/100</f>
        <v>505775059.72530001</v>
      </c>
      <c r="J84" s="809">
        <f>+E84-F84-H84-I84</f>
        <v>45366846636.290283</v>
      </c>
    </row>
    <row r="85" spans="1:10" ht="15">
      <c r="A85" s="807">
        <v>50</v>
      </c>
      <c r="B85" s="808" t="s">
        <v>774</v>
      </c>
      <c r="C85" s="808" t="s">
        <v>775</v>
      </c>
      <c r="D85" s="809"/>
      <c r="E85" s="809">
        <v>101434879526.53999</v>
      </c>
      <c r="F85" s="809">
        <f>+E85*7.5/107.5</f>
        <v>7076852059.9911623</v>
      </c>
      <c r="G85" s="809">
        <f>+E85-F85</f>
        <v>94358027466.548828</v>
      </c>
      <c r="H85" s="809">
        <f>+G85*0.025</f>
        <v>2358950686.6637206</v>
      </c>
      <c r="I85" s="809">
        <f>+E85*1/100</f>
        <v>1014348795.2653999</v>
      </c>
      <c r="J85" s="809">
        <f>+E85-F85-H85-I85</f>
        <v>90984727984.619705</v>
      </c>
    </row>
    <row r="86" spans="1:10" ht="30">
      <c r="A86" s="807">
        <v>23</v>
      </c>
      <c r="B86" s="808" t="s">
        <v>776</v>
      </c>
      <c r="C86" s="808" t="s">
        <v>777</v>
      </c>
      <c r="D86" s="809"/>
      <c r="E86" s="809">
        <v>152152319289.81</v>
      </c>
      <c r="F86" s="809">
        <f>+E86*7.5/107.5</f>
        <v>10615278089.986744</v>
      </c>
      <c r="G86" s="809">
        <f>+E86-F86</f>
        <v>141537041199.82324</v>
      </c>
      <c r="H86" s="809">
        <f>+G86*0.05</f>
        <v>7076852059.9911623</v>
      </c>
      <c r="I86" s="809">
        <f>+E86*1/100</f>
        <v>1521523192.8980999</v>
      </c>
      <c r="J86" s="809">
        <f>+E86-F86-H86-I86</f>
        <v>132938665946.93398</v>
      </c>
    </row>
    <row r="87" spans="1:10" ht="15">
      <c r="A87" s="807">
        <v>28</v>
      </c>
      <c r="B87" s="808" t="s">
        <v>776</v>
      </c>
      <c r="C87" s="808" t="s">
        <v>775</v>
      </c>
      <c r="D87" s="809"/>
      <c r="E87" s="809">
        <v>25195108249.529999</v>
      </c>
      <c r="F87" s="809">
        <f>+E87*7.5/107.5</f>
        <v>1757798249.9672091</v>
      </c>
      <c r="G87" s="809">
        <f>+E87-F87</f>
        <v>23437309999.56279</v>
      </c>
      <c r="H87" s="809">
        <f>+G87*0.025</f>
        <v>585932749.98906982</v>
      </c>
      <c r="I87" s="809">
        <f>+E87*1/100</f>
        <v>251951082.49529999</v>
      </c>
      <c r="J87" s="809">
        <v>22605724944.139999</v>
      </c>
    </row>
    <row r="88" spans="1:10" ht="15">
      <c r="A88" s="807">
        <v>29</v>
      </c>
      <c r="B88" s="808" t="s">
        <v>776</v>
      </c>
      <c r="C88" s="808" t="s">
        <v>775</v>
      </c>
      <c r="D88" s="809"/>
      <c r="E88" s="809">
        <v>89170280606.369995</v>
      </c>
      <c r="F88" s="809">
        <f>+E88*7.5/107.5</f>
        <v>6221182367.8862782</v>
      </c>
      <c r="G88" s="809">
        <f>+E88-F88</f>
        <v>82949098238.483719</v>
      </c>
      <c r="H88" s="809">
        <f>+G88*0.025</f>
        <v>2073727455.9620931</v>
      </c>
      <c r="I88" s="809">
        <f>+E88*1/100</f>
        <v>891702806.06369996</v>
      </c>
      <c r="J88" s="809">
        <f>+E88-F88-H88-I88</f>
        <v>79983667976.457916</v>
      </c>
    </row>
    <row r="89" spans="1:10" ht="30">
      <c r="A89" s="807">
        <v>30</v>
      </c>
      <c r="B89" s="814" t="s">
        <v>776</v>
      </c>
      <c r="C89" s="1145" t="s">
        <v>778</v>
      </c>
      <c r="D89" s="815"/>
      <c r="E89" s="815">
        <v>50577505972.529999</v>
      </c>
      <c r="F89" s="815">
        <f>+E89*7.5/107.5</f>
        <v>3528663207.3858137</v>
      </c>
      <c r="G89" s="809">
        <f>+E89-F89</f>
        <v>47048842765.144188</v>
      </c>
      <c r="H89" s="809">
        <f>+G89*0.025</f>
        <v>1176221069.1286047</v>
      </c>
      <c r="I89" s="809">
        <f>+E89*1/100</f>
        <v>505775059.72530001</v>
      </c>
      <c r="J89" s="809">
        <f>+E89-F89-H89-I89</f>
        <v>45366846636.290283</v>
      </c>
    </row>
    <row r="90" spans="1:10" ht="30">
      <c r="A90" s="807">
        <v>31</v>
      </c>
      <c r="B90" s="808" t="s">
        <v>776</v>
      </c>
      <c r="C90" s="808" t="s">
        <v>779</v>
      </c>
      <c r="D90" s="809"/>
      <c r="E90" s="809">
        <v>101434879526.53999</v>
      </c>
      <c r="F90" s="809">
        <f>+E90*7.5/107.5</f>
        <v>7076852059.9911623</v>
      </c>
      <c r="G90" s="809">
        <f>+E90-F90</f>
        <v>94358027466.548828</v>
      </c>
      <c r="H90" s="809">
        <f>+G90*0.025</f>
        <v>2358950686.6637206</v>
      </c>
      <c r="I90" s="809">
        <f>+E90*1/100</f>
        <v>1014348795.2653999</v>
      </c>
      <c r="J90" s="809">
        <f>+E90-F90-H90-I90</f>
        <v>90984727984.619705</v>
      </c>
    </row>
    <row r="91" spans="1:10" ht="30">
      <c r="A91" s="807">
        <v>25</v>
      </c>
      <c r="B91" s="808" t="s">
        <v>780</v>
      </c>
      <c r="C91" s="808" t="s">
        <v>781</v>
      </c>
      <c r="D91" s="1146"/>
      <c r="E91" s="809">
        <v>44000000000</v>
      </c>
      <c r="F91" s="809">
        <f>+E91*7.5/107.5</f>
        <v>3069767441.860465</v>
      </c>
      <c r="G91" s="809">
        <f>+E91-F91</f>
        <v>40930232558.139534</v>
      </c>
      <c r="H91" s="809">
        <f>+G91*0.05</f>
        <v>2046511627.9069767</v>
      </c>
      <c r="I91" s="809">
        <f>+E91*1/100</f>
        <v>440000000</v>
      </c>
      <c r="J91" s="809">
        <f>+E91-F91-H91-I91</f>
        <v>38443720930.232559</v>
      </c>
    </row>
    <row r="92" spans="1:10" ht="30">
      <c r="A92" s="807">
        <v>26</v>
      </c>
      <c r="B92" s="808" t="s">
        <v>780</v>
      </c>
      <c r="C92" s="808" t="s">
        <v>782</v>
      </c>
      <c r="D92" s="1146"/>
      <c r="E92" s="809">
        <v>6600000000</v>
      </c>
      <c r="F92" s="809">
        <f>+E92*7.5/107.5</f>
        <v>460465116.27906978</v>
      </c>
      <c r="G92" s="809">
        <f>+E92-F92</f>
        <v>6139534883.7209301</v>
      </c>
      <c r="H92" s="809">
        <f>+G92*0.05</f>
        <v>306976744.18604654</v>
      </c>
      <c r="I92" s="809">
        <f>+E92*1/100</f>
        <v>66000000</v>
      </c>
      <c r="J92" s="809">
        <f>+E92-F92-H92-I92</f>
        <v>5766558139.5348835</v>
      </c>
    </row>
    <row r="93" spans="1:10" ht="45">
      <c r="A93" s="807">
        <v>55</v>
      </c>
      <c r="B93" s="808" t="s">
        <v>783</v>
      </c>
      <c r="C93" s="816" t="s">
        <v>784</v>
      </c>
      <c r="D93" s="817"/>
      <c r="E93" s="809">
        <v>25291957870.700001</v>
      </c>
      <c r="F93" s="809">
        <f>+E93*7.5/107.5</f>
        <v>1764555200.2813954</v>
      </c>
      <c r="G93" s="809">
        <f>+E93-F93</f>
        <v>23527402670.418606</v>
      </c>
      <c r="H93" s="809">
        <f>+G93*0.025</f>
        <v>588185066.76046515</v>
      </c>
      <c r="I93" s="809">
        <f>+E93*1/100</f>
        <v>252919578.70700002</v>
      </c>
      <c r="J93" s="809">
        <f>+E93-F93-H93-I93</f>
        <v>22686298024.951141</v>
      </c>
    </row>
    <row r="94" spans="1:10" ht="75">
      <c r="A94" s="807">
        <v>54</v>
      </c>
      <c r="B94" s="808" t="s">
        <v>720</v>
      </c>
      <c r="C94" s="816" t="s">
        <v>785</v>
      </c>
      <c r="D94" s="809"/>
      <c r="E94" s="809">
        <v>29939809146.860001</v>
      </c>
      <c r="F94" s="809">
        <f>+E94*7.5/107.5</f>
        <v>2088823893.9669769</v>
      </c>
      <c r="G94" s="809">
        <f>+E94-F94</f>
        <v>27850985252.893024</v>
      </c>
      <c r="H94" s="809">
        <f>+G94*0.025</f>
        <v>696274631.32232571</v>
      </c>
      <c r="I94" s="809">
        <f>+E94*1/100</f>
        <v>299398091.46860003</v>
      </c>
      <c r="J94" s="809">
        <f>+E94-F94-H94-I94</f>
        <v>26855312530.102097</v>
      </c>
    </row>
    <row r="95" spans="1:10" ht="30">
      <c r="A95" s="807">
        <v>60</v>
      </c>
      <c r="B95" s="808" t="s">
        <v>786</v>
      </c>
      <c r="C95" s="816" t="s">
        <v>787</v>
      </c>
      <c r="D95" s="809"/>
      <c r="E95" s="809">
        <v>5000000000</v>
      </c>
      <c r="F95" s="809"/>
      <c r="G95" s="809"/>
      <c r="H95" s="809"/>
      <c r="I95" s="809"/>
      <c r="J95" s="809">
        <f>+E95-F95-H95-I95</f>
        <v>5000000000</v>
      </c>
    </row>
    <row r="96" spans="1:10" ht="60">
      <c r="A96" s="807">
        <v>63</v>
      </c>
      <c r="B96" s="808" t="s">
        <v>788</v>
      </c>
      <c r="C96" s="808" t="s">
        <v>789</v>
      </c>
      <c r="D96" s="809"/>
      <c r="E96" s="809">
        <v>7000000000</v>
      </c>
      <c r="F96" s="809"/>
      <c r="G96" s="809"/>
      <c r="H96" s="809"/>
      <c r="I96" s="809"/>
      <c r="J96" s="809">
        <f>+E96-F96-H96-I96</f>
        <v>7000000000</v>
      </c>
    </row>
    <row r="97" spans="1:11" ht="30">
      <c r="A97" s="807">
        <v>21</v>
      </c>
      <c r="B97" s="808" t="s">
        <v>718</v>
      </c>
      <c r="C97" s="808" t="s">
        <v>790</v>
      </c>
      <c r="D97" s="809"/>
      <c r="E97" s="809">
        <v>45000000000</v>
      </c>
      <c r="F97" s="809">
        <f>+E97*7.5/107.5</f>
        <v>3139534883.7209301</v>
      </c>
      <c r="G97" s="809">
        <f>+E97-F97</f>
        <v>41860465116.279068</v>
      </c>
      <c r="H97" s="809">
        <f>+G97*0.05</f>
        <v>2093023255.8139534</v>
      </c>
      <c r="I97" s="809">
        <f>+E97*1/100</f>
        <v>450000000</v>
      </c>
      <c r="J97" s="809">
        <f>+E97-F97-H97-I97</f>
        <v>39317441860.465118</v>
      </c>
    </row>
    <row r="98" spans="1:11" ht="30">
      <c r="A98" s="807">
        <v>57</v>
      </c>
      <c r="B98" s="808" t="s">
        <v>718</v>
      </c>
      <c r="C98" s="808" t="s">
        <v>790</v>
      </c>
      <c r="D98" s="809"/>
      <c r="E98" s="809">
        <v>37947864563.970001</v>
      </c>
      <c r="F98" s="809">
        <f>+E98*7.5/107.5</f>
        <v>2647525434.6955814</v>
      </c>
      <c r="G98" s="809">
        <f>+E98-F98</f>
        <v>35300339129.274422</v>
      </c>
      <c r="H98" s="809">
        <f>+G98*0.025</f>
        <v>882508478.23186064</v>
      </c>
      <c r="I98" s="809"/>
      <c r="J98" s="809">
        <f>+E98-F98-H98-I98</f>
        <v>34417830651.042564</v>
      </c>
    </row>
    <row r="99" spans="1:11" ht="30">
      <c r="A99" s="807">
        <v>4</v>
      </c>
      <c r="B99" s="808"/>
      <c r="C99" s="808" t="s">
        <v>791</v>
      </c>
      <c r="D99" s="809"/>
      <c r="E99" s="809">
        <v>400000000000</v>
      </c>
      <c r="F99" s="809"/>
      <c r="G99" s="809"/>
      <c r="H99" s="809"/>
      <c r="I99" s="809"/>
      <c r="J99" s="809">
        <f>+E99-F99-H99-I99</f>
        <v>400000000000</v>
      </c>
    </row>
    <row r="100" spans="1:11" ht="27.75" customHeight="1">
      <c r="A100" s="817"/>
      <c r="B100" s="817"/>
      <c r="C100" s="806" t="s">
        <v>792</v>
      </c>
      <c r="D100" s="818">
        <f>SUM(D37:D67)</f>
        <v>2145366824211.96</v>
      </c>
      <c r="E100" s="818">
        <f>SUM(E37:E99)</f>
        <v>6465393214182.8018</v>
      </c>
      <c r="F100" s="818">
        <f t="shared" ref="F100:J100" si="0">SUM(F37:F99)</f>
        <v>329409195748.02716</v>
      </c>
      <c r="G100" s="818">
        <f t="shared" si="0"/>
        <v>4630974271653.5234</v>
      </c>
      <c r="H100" s="818">
        <f t="shared" si="0"/>
        <v>187443239979.50311</v>
      </c>
      <c r="I100" s="818">
        <f t="shared" si="0"/>
        <v>48633352745.2341</v>
      </c>
      <c r="J100" s="818">
        <f t="shared" si="0"/>
        <v>5899913724487.0977</v>
      </c>
      <c r="K100" s="819"/>
    </row>
    <row r="101" spans="1:11">
      <c r="D101" s="819"/>
      <c r="E101" s="819"/>
      <c r="F101" s="819"/>
      <c r="G101" s="819"/>
      <c r="H101" s="819"/>
      <c r="I101" s="819"/>
      <c r="J101" s="819"/>
    </row>
    <row r="102" spans="1:11">
      <c r="D102" s="819"/>
      <c r="E102" s="819"/>
      <c r="F102" s="819"/>
      <c r="G102" s="819"/>
      <c r="H102" s="819"/>
      <c r="I102" s="819"/>
      <c r="J102" s="819"/>
    </row>
    <row r="103" spans="1:11">
      <c r="D103" s="819"/>
      <c r="E103" s="819"/>
      <c r="F103" s="819"/>
      <c r="G103" s="819"/>
      <c r="H103" s="819"/>
      <c r="I103" s="819"/>
      <c r="J103" s="819"/>
    </row>
    <row r="104" spans="1:11">
      <c r="D104" s="819"/>
      <c r="E104" s="819"/>
      <c r="F104" s="819"/>
      <c r="G104" s="819"/>
      <c r="H104" s="819"/>
      <c r="I104" s="819"/>
      <c r="J104" s="819"/>
    </row>
    <row r="105" spans="1:11">
      <c r="D105" s="819"/>
      <c r="E105" s="819"/>
      <c r="F105" s="819"/>
      <c r="G105" s="819"/>
      <c r="H105" s="819"/>
      <c r="I105" s="819"/>
      <c r="J105" s="819"/>
    </row>
    <row r="106" spans="1:11">
      <c r="D106" s="819"/>
      <c r="E106" s="819"/>
      <c r="F106" s="819"/>
      <c r="G106" s="819"/>
      <c r="H106" s="819"/>
      <c r="I106" s="819"/>
      <c r="J106" s="819"/>
    </row>
    <row r="107" spans="1:11">
      <c r="D107" s="819"/>
      <c r="E107" s="819"/>
      <c r="F107" s="819"/>
      <c r="G107" s="819"/>
      <c r="H107" s="819"/>
      <c r="I107" s="819"/>
      <c r="J107" s="819"/>
    </row>
    <row r="108" spans="1:11">
      <c r="D108" s="819"/>
      <c r="E108" s="819"/>
      <c r="F108" s="819"/>
      <c r="G108" s="819"/>
      <c r="H108" s="819"/>
      <c r="I108" s="819"/>
      <c r="J108" s="819"/>
    </row>
    <row r="109" spans="1:11">
      <c r="D109" s="819"/>
      <c r="E109" s="819"/>
      <c r="F109" s="819"/>
      <c r="G109" s="819"/>
      <c r="H109" s="819"/>
      <c r="I109" s="819"/>
      <c r="J109" s="819"/>
    </row>
    <row r="110" spans="1:11">
      <c r="D110" s="819"/>
      <c r="E110" s="819"/>
      <c r="F110" s="819"/>
      <c r="G110" s="819"/>
      <c r="H110" s="819"/>
      <c r="I110" s="819"/>
      <c r="J110" s="819"/>
    </row>
    <row r="111" spans="1:11">
      <c r="D111" s="819"/>
      <c r="E111" s="819"/>
      <c r="F111" s="819"/>
      <c r="G111" s="819"/>
      <c r="H111" s="819"/>
      <c r="I111" s="819"/>
      <c r="J111" s="819"/>
    </row>
    <row r="112" spans="1:11">
      <c r="D112" s="819"/>
      <c r="E112" s="819"/>
      <c r="F112" s="819"/>
      <c r="G112" s="819"/>
      <c r="H112" s="819"/>
      <c r="I112" s="819"/>
      <c r="J112" s="819"/>
    </row>
    <row r="113" spans="4:10">
      <c r="D113" s="819"/>
      <c r="E113" s="819"/>
      <c r="F113" s="819"/>
      <c r="G113" s="819"/>
      <c r="H113" s="819"/>
      <c r="I113" s="819"/>
      <c r="J113" s="819"/>
    </row>
    <row r="114" spans="4:10">
      <c r="D114" s="819"/>
      <c r="E114" s="819"/>
      <c r="F114" s="819"/>
      <c r="G114" s="819"/>
      <c r="H114" s="819"/>
      <c r="I114" s="819"/>
      <c r="J114" s="819"/>
    </row>
    <row r="115" spans="4:10">
      <c r="D115" s="819"/>
      <c r="E115" s="819"/>
      <c r="F115" s="819"/>
      <c r="G115" s="819"/>
      <c r="H115" s="819"/>
      <c r="I115" s="819"/>
      <c r="J115" s="819"/>
    </row>
    <row r="116" spans="4:10">
      <c r="D116" s="819"/>
      <c r="E116" s="819"/>
      <c r="F116" s="819"/>
      <c r="G116" s="819"/>
      <c r="H116" s="819"/>
      <c r="I116" s="819"/>
      <c r="J116" s="819"/>
    </row>
    <row r="117" spans="4:10">
      <c r="D117" s="819"/>
      <c r="E117" s="819"/>
      <c r="F117" s="819"/>
      <c r="G117" s="819"/>
      <c r="H117" s="819"/>
      <c r="I117" s="819"/>
      <c r="J117" s="819"/>
    </row>
    <row r="118" spans="4:10">
      <c r="D118" s="819"/>
      <c r="E118" s="819"/>
      <c r="F118" s="819"/>
      <c r="G118" s="819"/>
      <c r="H118" s="819"/>
      <c r="I118" s="819"/>
      <c r="J118" s="819"/>
    </row>
    <row r="119" spans="4:10">
      <c r="D119" s="819"/>
      <c r="E119" s="819"/>
      <c r="F119" s="819"/>
      <c r="G119" s="819"/>
      <c r="H119" s="819"/>
      <c r="I119" s="819"/>
      <c r="J119" s="819"/>
    </row>
    <row r="120" spans="4:10">
      <c r="D120" s="819"/>
      <c r="E120" s="819"/>
      <c r="F120" s="819"/>
      <c r="G120" s="819"/>
      <c r="H120" s="819"/>
      <c r="I120" s="819"/>
      <c r="J120" s="819"/>
    </row>
    <row r="121" spans="4:10">
      <c r="D121" s="819"/>
      <c r="E121" s="819"/>
      <c r="F121" s="819"/>
      <c r="G121" s="819"/>
      <c r="H121" s="819"/>
      <c r="I121" s="819"/>
      <c r="J121" s="819"/>
    </row>
    <row r="122" spans="4:10">
      <c r="D122" s="819"/>
      <c r="E122" s="819"/>
      <c r="F122" s="819"/>
      <c r="G122" s="819"/>
      <c r="H122" s="819"/>
      <c r="I122" s="819"/>
      <c r="J122" s="819"/>
    </row>
    <row r="123" spans="4:10">
      <c r="D123" s="819"/>
      <c r="E123" s="819"/>
      <c r="F123" s="819"/>
      <c r="G123" s="819"/>
      <c r="H123" s="819"/>
      <c r="I123" s="819"/>
      <c r="J123" s="819"/>
    </row>
    <row r="124" spans="4:10">
      <c r="D124" s="819"/>
      <c r="E124" s="819"/>
      <c r="F124" s="819"/>
      <c r="G124" s="819"/>
      <c r="H124" s="819"/>
      <c r="I124" s="819"/>
      <c r="J124" s="819"/>
    </row>
    <row r="125" spans="4:10">
      <c r="D125" s="819"/>
      <c r="E125" s="819"/>
      <c r="F125" s="819"/>
      <c r="G125" s="819"/>
      <c r="H125" s="819"/>
      <c r="I125" s="819"/>
      <c r="J125" s="819"/>
    </row>
    <row r="126" spans="4:10">
      <c r="D126" s="819"/>
      <c r="E126" s="819"/>
      <c r="F126" s="819"/>
      <c r="G126" s="819"/>
      <c r="H126" s="819"/>
      <c r="I126" s="819"/>
      <c r="J126" s="819"/>
    </row>
    <row r="127" spans="4:10">
      <c r="D127" s="819"/>
      <c r="E127" s="819"/>
      <c r="F127" s="819"/>
      <c r="G127" s="819"/>
      <c r="H127" s="819"/>
      <c r="I127" s="819"/>
      <c r="J127" s="819"/>
    </row>
    <row r="128" spans="4:10">
      <c r="D128" s="819"/>
      <c r="E128" s="819"/>
      <c r="F128" s="819"/>
      <c r="G128" s="819"/>
      <c r="H128" s="819"/>
      <c r="I128" s="819"/>
      <c r="J128" s="819"/>
    </row>
    <row r="129" spans="4:10">
      <c r="D129" s="819"/>
      <c r="E129" s="819"/>
      <c r="F129" s="819"/>
      <c r="G129" s="819"/>
      <c r="H129" s="819"/>
      <c r="I129" s="819"/>
      <c r="J129" s="819"/>
    </row>
    <row r="130" spans="4:10">
      <c r="D130" s="819"/>
      <c r="E130" s="819"/>
      <c r="F130" s="819"/>
      <c r="G130" s="819"/>
      <c r="H130" s="819"/>
      <c r="I130" s="819"/>
      <c r="J130" s="819"/>
    </row>
    <row r="131" spans="4:10">
      <c r="D131" s="819"/>
      <c r="E131" s="819"/>
      <c r="F131" s="819"/>
      <c r="G131" s="819"/>
      <c r="H131" s="819"/>
      <c r="I131" s="819"/>
      <c r="J131" s="819"/>
    </row>
    <row r="132" spans="4:10">
      <c r="D132" s="819"/>
      <c r="E132" s="819"/>
      <c r="F132" s="819"/>
      <c r="G132" s="819"/>
      <c r="H132" s="819"/>
      <c r="I132" s="819"/>
      <c r="J132" s="819"/>
    </row>
    <row r="133" spans="4:10">
      <c r="D133" s="819"/>
      <c r="E133" s="819"/>
      <c r="F133" s="819"/>
      <c r="G133" s="819"/>
      <c r="H133" s="819"/>
      <c r="I133" s="819"/>
      <c r="J133" s="819"/>
    </row>
    <row r="134" spans="4:10">
      <c r="D134" s="819"/>
      <c r="E134" s="819"/>
      <c r="F134" s="819"/>
      <c r="G134" s="819"/>
      <c r="H134" s="819"/>
      <c r="I134" s="819"/>
      <c r="J134" s="819"/>
    </row>
    <row r="135" spans="4:10">
      <c r="D135" s="819"/>
      <c r="E135" s="819"/>
      <c r="F135" s="819"/>
      <c r="G135" s="819"/>
      <c r="H135" s="819"/>
      <c r="I135" s="819"/>
      <c r="J135" s="819"/>
    </row>
    <row r="136" spans="4:10">
      <c r="D136" s="819"/>
      <c r="E136" s="819"/>
      <c r="F136" s="819"/>
      <c r="G136" s="819"/>
      <c r="H136" s="819"/>
      <c r="I136" s="819"/>
      <c r="J136" s="819"/>
    </row>
    <row r="137" spans="4:10">
      <c r="D137" s="819"/>
      <c r="E137" s="819"/>
      <c r="F137" s="819"/>
      <c r="G137" s="819"/>
      <c r="H137" s="819"/>
      <c r="I137" s="819"/>
      <c r="J137" s="819"/>
    </row>
    <row r="138" spans="4:10">
      <c r="D138" s="819"/>
      <c r="E138" s="819"/>
      <c r="F138" s="819"/>
      <c r="G138" s="819"/>
      <c r="H138" s="819"/>
      <c r="I138" s="819"/>
      <c r="J138" s="819"/>
    </row>
    <row r="139" spans="4:10">
      <c r="D139" s="819"/>
      <c r="E139" s="819"/>
      <c r="F139" s="819"/>
      <c r="G139" s="819"/>
      <c r="H139" s="819"/>
      <c r="I139" s="819"/>
      <c r="J139" s="819"/>
    </row>
    <row r="140" spans="4:10">
      <c r="D140" s="819"/>
      <c r="E140" s="819"/>
      <c r="F140" s="819"/>
      <c r="G140" s="819"/>
      <c r="H140" s="819"/>
      <c r="I140" s="819"/>
      <c r="J140" s="819"/>
    </row>
    <row r="141" spans="4:10">
      <c r="D141" s="819"/>
      <c r="E141" s="819"/>
      <c r="F141" s="819"/>
      <c r="G141" s="819"/>
      <c r="H141" s="819"/>
      <c r="I141" s="819"/>
      <c r="J141" s="819"/>
    </row>
    <row r="142" spans="4:10">
      <c r="D142" s="819"/>
      <c r="E142" s="819"/>
      <c r="F142" s="819"/>
      <c r="G142" s="819"/>
      <c r="H142" s="819"/>
      <c r="I142" s="819"/>
      <c r="J142" s="819"/>
    </row>
    <row r="143" spans="4:10">
      <c r="D143" s="819"/>
      <c r="E143" s="819"/>
      <c r="F143" s="819"/>
      <c r="G143" s="819"/>
      <c r="H143" s="819"/>
      <c r="I143" s="819"/>
      <c r="J143" s="819"/>
    </row>
    <row r="144" spans="4:10">
      <c r="D144" s="819"/>
      <c r="E144" s="819"/>
      <c r="F144" s="819"/>
      <c r="G144" s="819"/>
      <c r="H144" s="819"/>
      <c r="I144" s="819"/>
      <c r="J144" s="819"/>
    </row>
    <row r="145" spans="4:10">
      <c r="D145" s="819"/>
      <c r="E145" s="819"/>
      <c r="F145" s="819"/>
      <c r="G145" s="819"/>
      <c r="H145" s="819"/>
      <c r="I145" s="819"/>
      <c r="J145" s="819"/>
    </row>
    <row r="146" spans="4:10">
      <c r="D146" s="819"/>
      <c r="E146" s="819"/>
      <c r="F146" s="819"/>
      <c r="G146" s="819"/>
      <c r="H146" s="819"/>
      <c r="I146" s="819"/>
      <c r="J146" s="819"/>
    </row>
    <row r="147" spans="4:10">
      <c r="D147" s="819"/>
      <c r="E147" s="819"/>
      <c r="F147" s="819"/>
      <c r="G147" s="819"/>
      <c r="H147" s="819"/>
      <c r="I147" s="819"/>
      <c r="J147" s="819"/>
    </row>
    <row r="148" spans="4:10">
      <c r="D148" s="819"/>
      <c r="E148" s="819"/>
      <c r="F148" s="819"/>
      <c r="G148" s="819"/>
      <c r="H148" s="819"/>
      <c r="I148" s="819"/>
      <c r="J148" s="819"/>
    </row>
    <row r="149" spans="4:10">
      <c r="D149" s="819"/>
      <c r="E149" s="819"/>
      <c r="F149" s="819"/>
      <c r="G149" s="819"/>
      <c r="H149" s="819"/>
      <c r="I149" s="819"/>
      <c r="J149" s="819"/>
    </row>
    <row r="150" spans="4:10">
      <c r="D150" s="819"/>
      <c r="E150" s="819"/>
      <c r="F150" s="819"/>
      <c r="G150" s="819"/>
      <c r="H150" s="819"/>
      <c r="I150" s="819"/>
      <c r="J150" s="819"/>
    </row>
    <row r="151" spans="4:10">
      <c r="D151" s="819"/>
      <c r="E151" s="819"/>
      <c r="F151" s="819"/>
      <c r="G151" s="819"/>
      <c r="H151" s="819"/>
      <c r="I151" s="819"/>
      <c r="J151" s="819"/>
    </row>
    <row r="152" spans="4:10">
      <c r="D152" s="819"/>
      <c r="E152" s="819"/>
      <c r="F152" s="819"/>
      <c r="G152" s="819"/>
      <c r="H152" s="819"/>
      <c r="I152" s="819"/>
      <c r="J152" s="819"/>
    </row>
    <row r="153" spans="4:10">
      <c r="D153" s="819"/>
      <c r="E153" s="819"/>
      <c r="F153" s="819"/>
      <c r="G153" s="819"/>
      <c r="H153" s="819"/>
      <c r="I153" s="819"/>
      <c r="J153" s="819"/>
    </row>
    <row r="154" spans="4:10">
      <c r="D154" s="819"/>
      <c r="E154" s="819"/>
      <c r="F154" s="819"/>
      <c r="G154" s="819"/>
      <c r="H154" s="819"/>
      <c r="I154" s="819"/>
      <c r="J154" s="819"/>
    </row>
    <row r="155" spans="4:10">
      <c r="D155" s="819"/>
      <c r="E155" s="819"/>
      <c r="F155" s="819"/>
      <c r="G155" s="819"/>
      <c r="H155" s="819"/>
      <c r="I155" s="819"/>
      <c r="J155" s="819"/>
    </row>
    <row r="156" spans="4:10">
      <c r="D156" s="819"/>
      <c r="E156" s="819"/>
      <c r="F156" s="819"/>
      <c r="G156" s="819"/>
      <c r="H156" s="819"/>
      <c r="I156" s="819"/>
      <c r="J156" s="819"/>
    </row>
    <row r="157" spans="4:10">
      <c r="D157" s="819"/>
      <c r="E157" s="819"/>
      <c r="F157" s="819"/>
      <c r="G157" s="819"/>
      <c r="H157" s="819"/>
      <c r="I157" s="819"/>
      <c r="J157" s="819"/>
    </row>
    <row r="158" spans="4:10">
      <c r="D158" s="819"/>
      <c r="E158" s="819"/>
      <c r="F158" s="819"/>
      <c r="G158" s="819"/>
      <c r="H158" s="819"/>
      <c r="I158" s="819"/>
      <c r="J158" s="819"/>
    </row>
    <row r="159" spans="4:10">
      <c r="D159" s="819"/>
      <c r="E159" s="819"/>
      <c r="F159" s="819"/>
      <c r="G159" s="819"/>
      <c r="H159" s="819"/>
      <c r="I159" s="819"/>
      <c r="J159" s="819"/>
    </row>
    <row r="160" spans="4:10">
      <c r="D160" s="819"/>
      <c r="E160" s="819"/>
      <c r="F160" s="819"/>
      <c r="G160" s="819"/>
      <c r="H160" s="819"/>
      <c r="I160" s="819"/>
      <c r="J160" s="819"/>
    </row>
    <row r="161" spans="4:10">
      <c r="D161" s="819"/>
      <c r="E161" s="819"/>
      <c r="F161" s="819"/>
      <c r="G161" s="819"/>
      <c r="H161" s="819"/>
      <c r="I161" s="819"/>
      <c r="J161" s="819"/>
    </row>
    <row r="162" spans="4:10">
      <c r="D162" s="819"/>
      <c r="E162" s="819"/>
      <c r="F162" s="819"/>
      <c r="G162" s="819"/>
      <c r="H162" s="819"/>
      <c r="I162" s="819"/>
      <c r="J162" s="819"/>
    </row>
    <row r="163" spans="4:10">
      <c r="D163" s="819"/>
      <c r="E163" s="819"/>
      <c r="F163" s="819"/>
      <c r="G163" s="819"/>
      <c r="H163" s="819"/>
      <c r="I163" s="819"/>
      <c r="J163" s="819"/>
    </row>
    <row r="164" spans="4:10">
      <c r="D164" s="819"/>
      <c r="E164" s="819"/>
      <c r="F164" s="819"/>
      <c r="G164" s="819"/>
      <c r="H164" s="819"/>
      <c r="I164" s="819"/>
      <c r="J164" s="819"/>
    </row>
    <row r="165" spans="4:10">
      <c r="D165" s="819"/>
      <c r="E165" s="819"/>
      <c r="F165" s="819"/>
      <c r="G165" s="819"/>
      <c r="H165" s="819"/>
      <c r="I165" s="819"/>
      <c r="J165" s="819"/>
    </row>
    <row r="166" spans="4:10">
      <c r="D166" s="819"/>
      <c r="E166" s="819"/>
      <c r="F166" s="819"/>
      <c r="G166" s="819"/>
      <c r="H166" s="819"/>
      <c r="I166" s="819"/>
      <c r="J166" s="819"/>
    </row>
    <row r="167" spans="4:10">
      <c r="D167" s="819"/>
      <c r="E167" s="819"/>
      <c r="F167" s="819"/>
      <c r="G167" s="819"/>
      <c r="H167" s="819"/>
      <c r="I167" s="819"/>
      <c r="J167" s="819"/>
    </row>
    <row r="168" spans="4:10">
      <c r="D168" s="819"/>
      <c r="E168" s="819"/>
      <c r="F168" s="819"/>
      <c r="G168" s="819"/>
      <c r="H168" s="819"/>
      <c r="I168" s="819"/>
      <c r="J168" s="819"/>
    </row>
    <row r="169" spans="4:10">
      <c r="D169" s="819"/>
      <c r="E169" s="819"/>
      <c r="F169" s="819"/>
      <c r="G169" s="819"/>
      <c r="H169" s="819"/>
      <c r="I169" s="819"/>
      <c r="J169" s="819"/>
    </row>
    <row r="170" spans="4:10">
      <c r="D170" s="819"/>
      <c r="E170" s="819"/>
      <c r="F170" s="819"/>
      <c r="G170" s="819"/>
      <c r="H170" s="819"/>
      <c r="I170" s="819"/>
      <c r="J170" s="819"/>
    </row>
    <row r="171" spans="4:10">
      <c r="D171" s="819"/>
      <c r="E171" s="819"/>
      <c r="F171" s="819"/>
      <c r="G171" s="819"/>
      <c r="H171" s="819"/>
      <c r="I171" s="819"/>
      <c r="J171" s="819"/>
    </row>
    <row r="172" spans="4:10">
      <c r="D172" s="819"/>
      <c r="E172" s="819"/>
      <c r="F172" s="819"/>
      <c r="G172" s="819"/>
      <c r="H172" s="819"/>
      <c r="I172" s="819"/>
      <c r="J172" s="819"/>
    </row>
    <row r="173" spans="4:10">
      <c r="D173" s="819"/>
      <c r="E173" s="819"/>
      <c r="F173" s="819"/>
      <c r="G173" s="819"/>
      <c r="H173" s="819"/>
      <c r="I173" s="819"/>
      <c r="J173" s="819"/>
    </row>
    <row r="174" spans="4:10">
      <c r="D174" s="819"/>
      <c r="E174" s="819"/>
      <c r="F174" s="819"/>
      <c r="G174" s="819"/>
      <c r="H174" s="819"/>
      <c r="I174" s="819"/>
      <c r="J174" s="819"/>
    </row>
    <row r="175" spans="4:10">
      <c r="D175" s="819"/>
      <c r="E175" s="819"/>
      <c r="F175" s="819"/>
      <c r="G175" s="819"/>
      <c r="H175" s="819"/>
      <c r="I175" s="819"/>
      <c r="J175" s="819"/>
    </row>
    <row r="176" spans="4:10">
      <c r="D176" s="819"/>
      <c r="E176" s="819"/>
      <c r="F176" s="819"/>
      <c r="G176" s="819"/>
      <c r="H176" s="819"/>
      <c r="I176" s="819"/>
      <c r="J176" s="819"/>
    </row>
    <row r="177" spans="4:10">
      <c r="D177" s="819"/>
      <c r="E177" s="819"/>
      <c r="F177" s="819"/>
      <c r="G177" s="819"/>
      <c r="H177" s="819"/>
      <c r="I177" s="819"/>
      <c r="J177" s="819"/>
    </row>
    <row r="178" spans="4:10">
      <c r="D178" s="819"/>
      <c r="E178" s="819"/>
      <c r="F178" s="819"/>
      <c r="G178" s="819"/>
      <c r="H178" s="819"/>
      <c r="I178" s="819"/>
      <c r="J178" s="819"/>
    </row>
    <row r="179" spans="4:10">
      <c r="D179" s="819"/>
      <c r="E179" s="819"/>
      <c r="F179" s="819"/>
      <c r="G179" s="819"/>
      <c r="H179" s="819"/>
      <c r="I179" s="819"/>
      <c r="J179" s="819"/>
    </row>
    <row r="180" spans="4:10">
      <c r="D180" s="819"/>
      <c r="E180" s="819"/>
      <c r="F180" s="819"/>
      <c r="G180" s="819"/>
      <c r="H180" s="819"/>
      <c r="I180" s="819"/>
      <c r="J180" s="819"/>
    </row>
    <row r="181" spans="4:10">
      <c r="D181" s="819"/>
      <c r="E181" s="819"/>
      <c r="F181" s="819"/>
      <c r="G181" s="819"/>
      <c r="H181" s="819"/>
      <c r="I181" s="819"/>
      <c r="J181" s="819"/>
    </row>
    <row r="182" spans="4:10">
      <c r="D182" s="819"/>
      <c r="E182" s="819"/>
      <c r="F182" s="819"/>
      <c r="G182" s="819"/>
      <c r="H182" s="819"/>
      <c r="I182" s="819"/>
      <c r="J182" s="819"/>
    </row>
    <row r="183" spans="4:10">
      <c r="D183" s="819"/>
      <c r="E183" s="819"/>
      <c r="F183" s="819"/>
      <c r="G183" s="819"/>
      <c r="H183" s="819"/>
      <c r="I183" s="819"/>
      <c r="J183" s="819"/>
    </row>
    <row r="184" spans="4:10">
      <c r="D184" s="819"/>
      <c r="E184" s="819"/>
      <c r="F184" s="819"/>
      <c r="G184" s="819"/>
      <c r="H184" s="819"/>
      <c r="I184" s="819"/>
      <c r="J184" s="819"/>
    </row>
    <row r="185" spans="4:10">
      <c r="D185" s="819"/>
      <c r="E185" s="819"/>
      <c r="F185" s="819"/>
      <c r="G185" s="819"/>
      <c r="H185" s="819"/>
      <c r="I185" s="819"/>
      <c r="J185" s="819"/>
    </row>
    <row r="186" spans="4:10">
      <c r="D186" s="819"/>
      <c r="E186" s="819"/>
      <c r="F186" s="819"/>
      <c r="G186" s="819"/>
      <c r="H186" s="819"/>
      <c r="I186" s="819"/>
      <c r="J186" s="819"/>
    </row>
    <row r="187" spans="4:10">
      <c r="D187" s="819"/>
      <c r="E187" s="819"/>
      <c r="F187" s="819"/>
      <c r="G187" s="819"/>
      <c r="H187" s="819"/>
      <c r="I187" s="819"/>
      <c r="J187" s="819"/>
    </row>
    <row r="188" spans="4:10">
      <c r="D188" s="819"/>
      <c r="E188" s="819"/>
      <c r="F188" s="819"/>
      <c r="G188" s="819"/>
      <c r="H188" s="819"/>
      <c r="I188" s="819"/>
      <c r="J188" s="819"/>
    </row>
    <row r="189" spans="4:10">
      <c r="D189" s="819"/>
      <c r="E189" s="819"/>
      <c r="F189" s="819"/>
      <c r="G189" s="819"/>
      <c r="H189" s="819"/>
      <c r="I189" s="819"/>
      <c r="J189" s="819"/>
    </row>
    <row r="190" spans="4:10" ht="14.25"/>
    <row r="192" spans="4:10" ht="14.25"/>
  </sheetData>
  <sortState xmlns:xlrd2="http://schemas.microsoft.com/office/spreadsheetml/2017/richdata2" ref="A37:J99">
    <sortCondition ref="B37:B99"/>
  </sortState>
  <mergeCells count="4">
    <mergeCell ref="A32:J32"/>
    <mergeCell ref="A33:J33"/>
    <mergeCell ref="A34:J34"/>
    <mergeCell ref="A35:J35"/>
  </mergeCells>
  <printOptions horizontalCentered="1"/>
  <pageMargins left="0.31496062992125984" right="0.31496062992125984" top="0.35433070866141736" bottom="0.35433070866141736" header="0.31496062992125984" footer="0.31496062992125984"/>
  <pageSetup scale="5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2C89D-2F7E-624F-B265-22896605B5F4}">
  <sheetPr>
    <tabColor theme="7"/>
  </sheetPr>
  <dimension ref="B2:I88"/>
  <sheetViews>
    <sheetView workbookViewId="0">
      <selection activeCell="H3" sqref="H3:H7"/>
    </sheetView>
  </sheetViews>
  <sheetFormatPr defaultColWidth="10.85546875" defaultRowHeight="14.1"/>
  <cols>
    <col min="1" max="1" width="3.28515625" style="897" customWidth="1"/>
    <col min="2" max="2" width="3.140625" style="897" bestFit="1" customWidth="1"/>
    <col min="3" max="3" width="43.28515625" style="897" customWidth="1"/>
    <col min="4" max="4" width="22.85546875" style="897" customWidth="1"/>
    <col min="5" max="5" width="21.140625" style="897" customWidth="1"/>
    <col min="6" max="6" width="23.7109375" style="897" customWidth="1"/>
    <col min="7" max="7" width="69.140625" style="897" customWidth="1"/>
    <col min="8" max="16384" width="10.85546875" style="897"/>
  </cols>
  <sheetData>
    <row r="2" spans="2:8" ht="15" thickBot="1">
      <c r="C2" s="903" t="s">
        <v>793</v>
      </c>
    </row>
    <row r="3" spans="2:8" ht="15.95">
      <c r="B3" s="942"/>
      <c r="C3" s="944" t="s">
        <v>794</v>
      </c>
      <c r="D3" s="945" t="s">
        <v>795</v>
      </c>
      <c r="E3" s="945" t="s">
        <v>796</v>
      </c>
      <c r="F3" s="1171" t="s">
        <v>797</v>
      </c>
      <c r="G3" s="1173" t="s">
        <v>798</v>
      </c>
      <c r="H3" s="898" t="s">
        <v>799</v>
      </c>
    </row>
    <row r="4" spans="2:8" ht="14.25">
      <c r="B4" s="938">
        <v>1</v>
      </c>
      <c r="C4" s="901"/>
      <c r="D4" s="899"/>
      <c r="E4" s="899"/>
      <c r="F4" s="1172"/>
      <c r="G4" s="1173" t="s">
        <v>800</v>
      </c>
      <c r="H4" s="898" t="s">
        <v>801</v>
      </c>
    </row>
    <row r="5" spans="2:8" ht="14.25">
      <c r="B5" s="938">
        <f>B4+1</f>
        <v>2</v>
      </c>
      <c r="C5" s="901"/>
      <c r="D5" s="899"/>
      <c r="E5" s="899"/>
      <c r="F5" s="1172"/>
      <c r="G5" s="897" t="s">
        <v>802</v>
      </c>
      <c r="H5" s="898" t="s">
        <v>803</v>
      </c>
    </row>
    <row r="6" spans="2:8" ht="14.25">
      <c r="B6" s="938">
        <f t="shared" ref="B6:B23" si="0">B5+1</f>
        <v>3</v>
      </c>
      <c r="C6" s="901"/>
      <c r="D6" s="899"/>
      <c r="E6" s="899"/>
      <c r="F6" s="1172"/>
      <c r="G6" s="897" t="s">
        <v>804</v>
      </c>
      <c r="H6" s="898" t="s">
        <v>805</v>
      </c>
    </row>
    <row r="7" spans="2:8" ht="14.25">
      <c r="B7" s="938">
        <f t="shared" si="0"/>
        <v>4</v>
      </c>
      <c r="C7" s="901"/>
      <c r="D7" s="899"/>
      <c r="E7" s="899"/>
      <c r="F7" s="900"/>
      <c r="H7" s="898" t="s">
        <v>806</v>
      </c>
    </row>
    <row r="8" spans="2:8" ht="14.25">
      <c r="B8" s="938">
        <f t="shared" si="0"/>
        <v>5</v>
      </c>
      <c r="C8" s="901"/>
      <c r="D8" s="899"/>
      <c r="E8" s="899"/>
      <c r="F8" s="900"/>
      <c r="H8" s="898"/>
    </row>
    <row r="9" spans="2:8" ht="14.25">
      <c r="B9" s="938">
        <f t="shared" si="0"/>
        <v>6</v>
      </c>
      <c r="C9" s="901"/>
      <c r="D9" s="899"/>
      <c r="E9" s="899"/>
      <c r="F9" s="900"/>
      <c r="H9" s="898"/>
    </row>
    <row r="10" spans="2:8" ht="14.25">
      <c r="B10" s="938">
        <f t="shared" si="0"/>
        <v>7</v>
      </c>
      <c r="C10" s="901"/>
      <c r="D10" s="899"/>
      <c r="E10" s="899"/>
      <c r="F10" s="900"/>
      <c r="H10" s="898"/>
    </row>
    <row r="11" spans="2:8" ht="14.25">
      <c r="B11" s="938">
        <f t="shared" si="0"/>
        <v>8</v>
      </c>
      <c r="C11" s="901"/>
      <c r="D11" s="899"/>
      <c r="E11" s="899"/>
      <c r="F11" s="900"/>
      <c r="H11" s="898"/>
    </row>
    <row r="12" spans="2:8" ht="14.25">
      <c r="B12" s="938">
        <f t="shared" si="0"/>
        <v>9</v>
      </c>
      <c r="C12" s="901"/>
      <c r="D12" s="899"/>
      <c r="E12" s="899"/>
      <c r="F12" s="900"/>
      <c r="G12" s="897" t="s">
        <v>807</v>
      </c>
      <c r="H12" s="898" t="s">
        <v>808</v>
      </c>
    </row>
    <row r="13" spans="2:8" ht="14.25">
      <c r="B13" s="938">
        <f t="shared" si="0"/>
        <v>10</v>
      </c>
      <c r="C13" s="901"/>
      <c r="D13" s="899"/>
      <c r="E13" s="899"/>
      <c r="F13" s="900"/>
      <c r="G13" s="897" t="s">
        <v>809</v>
      </c>
      <c r="H13" s="898" t="s">
        <v>810</v>
      </c>
    </row>
    <row r="14" spans="2:8" ht="14.25">
      <c r="B14" s="938">
        <f t="shared" si="0"/>
        <v>11</v>
      </c>
      <c r="C14" s="901"/>
      <c r="D14" s="899"/>
      <c r="E14" s="899"/>
      <c r="F14" s="900"/>
      <c r="G14" s="897" t="s">
        <v>811</v>
      </c>
      <c r="H14" s="898"/>
    </row>
    <row r="15" spans="2:8" ht="14.25">
      <c r="B15" s="938">
        <f t="shared" si="0"/>
        <v>12</v>
      </c>
      <c r="C15" s="901"/>
      <c r="D15" s="899"/>
      <c r="E15" s="899"/>
      <c r="F15" s="900"/>
      <c r="G15" s="897" t="s">
        <v>812</v>
      </c>
      <c r="H15" s="898"/>
    </row>
    <row r="16" spans="2:8" ht="14.25">
      <c r="B16" s="938">
        <f t="shared" si="0"/>
        <v>13</v>
      </c>
      <c r="C16" s="901"/>
      <c r="D16" s="899"/>
      <c r="E16" s="899"/>
      <c r="F16" s="900"/>
      <c r="G16" s="897" t="s">
        <v>813</v>
      </c>
      <c r="H16" s="898"/>
    </row>
    <row r="17" spans="2:8" ht="14.25">
      <c r="B17" s="938">
        <f t="shared" si="0"/>
        <v>14</v>
      </c>
      <c r="C17" s="901"/>
      <c r="D17" s="899"/>
      <c r="E17" s="899"/>
      <c r="F17" s="900"/>
      <c r="H17" s="898"/>
    </row>
    <row r="18" spans="2:8" ht="14.25">
      <c r="B18" s="938">
        <f t="shared" si="0"/>
        <v>15</v>
      </c>
      <c r="C18" s="901"/>
      <c r="D18" s="899"/>
      <c r="E18" s="899"/>
      <c r="F18" s="900"/>
      <c r="H18" s="898"/>
    </row>
    <row r="19" spans="2:8" ht="14.25">
      <c r="B19" s="938">
        <f t="shared" si="0"/>
        <v>16</v>
      </c>
      <c r="C19" s="901"/>
      <c r="D19" s="899"/>
      <c r="E19" s="899"/>
      <c r="F19" s="900"/>
      <c r="H19" s="898"/>
    </row>
    <row r="20" spans="2:8" ht="14.25">
      <c r="B20" s="938">
        <f t="shared" si="0"/>
        <v>17</v>
      </c>
      <c r="C20" s="901"/>
      <c r="D20" s="899"/>
      <c r="E20" s="899"/>
      <c r="F20" s="900"/>
      <c r="H20" s="898"/>
    </row>
    <row r="21" spans="2:8" ht="14.25">
      <c r="B21" s="938">
        <f t="shared" si="0"/>
        <v>18</v>
      </c>
      <c r="C21" s="901"/>
      <c r="D21" s="899"/>
      <c r="E21" s="899"/>
      <c r="F21" s="900"/>
      <c r="H21" s="898"/>
    </row>
    <row r="22" spans="2:8" ht="14.25">
      <c r="B22" s="938">
        <f t="shared" si="0"/>
        <v>19</v>
      </c>
      <c r="C22" s="901"/>
      <c r="D22" s="899"/>
      <c r="E22" s="899"/>
      <c r="F22" s="900"/>
      <c r="H22" s="898"/>
    </row>
    <row r="23" spans="2:8" ht="14.25">
      <c r="B23" s="939">
        <f t="shared" si="0"/>
        <v>20</v>
      </c>
      <c r="C23" s="940"/>
      <c r="D23" s="902"/>
      <c r="E23" s="902"/>
      <c r="F23" s="941"/>
      <c r="H23" s="898"/>
    </row>
    <row r="24" spans="2:8">
      <c r="C24" s="898" t="s">
        <v>814</v>
      </c>
      <c r="D24" s="904"/>
      <c r="E24" s="905"/>
      <c r="G24" s="898"/>
    </row>
    <row r="25" spans="2:8">
      <c r="C25" s="943" t="s">
        <v>815</v>
      </c>
    </row>
    <row r="26" spans="2:8">
      <c r="C26" s="943" t="s">
        <v>816</v>
      </c>
    </row>
    <row r="28" spans="2:8">
      <c r="C28" s="927" t="s">
        <v>817</v>
      </c>
    </row>
    <row r="29" spans="2:8" ht="15.95">
      <c r="C29" s="925" t="s">
        <v>798</v>
      </c>
    </row>
    <row r="30" spans="2:8" ht="17.100000000000001" thickBot="1">
      <c r="C30" s="926" t="s">
        <v>818</v>
      </c>
    </row>
    <row r="31" spans="2:8" ht="15">
      <c r="C31" s="1240" t="s">
        <v>819</v>
      </c>
      <c r="D31" s="1240" t="s">
        <v>820</v>
      </c>
      <c r="E31" s="1240" t="s">
        <v>821</v>
      </c>
      <c r="F31" s="1240" t="s">
        <v>822</v>
      </c>
      <c r="G31" s="917" t="s">
        <v>823</v>
      </c>
    </row>
    <row r="32" spans="2:8" ht="27.95" customHeight="1" thickBot="1">
      <c r="C32" s="1241"/>
      <c r="D32" s="1241"/>
      <c r="E32" s="1241"/>
      <c r="F32" s="1241"/>
      <c r="G32" s="918" t="s">
        <v>824</v>
      </c>
    </row>
    <row r="33" spans="3:9" ht="75">
      <c r="C33" s="1242" t="s">
        <v>825</v>
      </c>
      <c r="D33" s="1244">
        <v>1.4950000000000001</v>
      </c>
      <c r="E33" s="1246">
        <v>0.77</v>
      </c>
      <c r="F33" s="1248" t="s">
        <v>826</v>
      </c>
      <c r="G33" s="919" t="s">
        <v>827</v>
      </c>
    </row>
    <row r="34" spans="3:9" ht="30.95" thickBot="1">
      <c r="C34" s="1243"/>
      <c r="D34" s="1245"/>
      <c r="E34" s="1247"/>
      <c r="F34" s="1249"/>
      <c r="G34" s="920" t="s">
        <v>828</v>
      </c>
    </row>
    <row r="35" spans="3:9" ht="15">
      <c r="C35" s="1240" t="s">
        <v>829</v>
      </c>
      <c r="D35" s="1250" t="s">
        <v>830</v>
      </c>
      <c r="E35" s="1250" t="s">
        <v>831</v>
      </c>
      <c r="F35" s="1250" t="s">
        <v>832</v>
      </c>
      <c r="G35" s="921" t="s">
        <v>833</v>
      </c>
    </row>
    <row r="36" spans="3:9" ht="30.95" thickBot="1">
      <c r="C36" s="1241"/>
      <c r="D36" s="1251"/>
      <c r="E36" s="1251"/>
      <c r="F36" s="1251"/>
      <c r="G36" s="918" t="s">
        <v>834</v>
      </c>
    </row>
    <row r="37" spans="3:9" ht="15">
      <c r="C37" s="1242" t="s">
        <v>90</v>
      </c>
      <c r="D37" s="1244">
        <v>5.4100000000000002E-2</v>
      </c>
      <c r="E37" s="1244">
        <v>7.1499999999999994E-2</v>
      </c>
      <c r="F37" s="1248" t="s">
        <v>835</v>
      </c>
      <c r="G37" s="919" t="s">
        <v>836</v>
      </c>
    </row>
    <row r="38" spans="3:9" ht="30.95" thickBot="1">
      <c r="C38" s="1243"/>
      <c r="D38" s="1245"/>
      <c r="E38" s="1245"/>
      <c r="F38" s="1249"/>
      <c r="G38" s="920" t="s">
        <v>837</v>
      </c>
    </row>
    <row r="39" spans="3:9" ht="30">
      <c r="C39" s="1240" t="s">
        <v>838</v>
      </c>
      <c r="D39" s="1250" t="s">
        <v>839</v>
      </c>
      <c r="E39" s="922" t="s">
        <v>840</v>
      </c>
      <c r="F39" s="1250" t="s">
        <v>841</v>
      </c>
      <c r="G39" s="921" t="s">
        <v>842</v>
      </c>
    </row>
    <row r="40" spans="3:9" ht="45">
      <c r="C40" s="1252"/>
      <c r="D40" s="1253"/>
      <c r="E40" s="922" t="s">
        <v>843</v>
      </c>
      <c r="F40" s="1253"/>
      <c r="G40" s="921" t="s">
        <v>844</v>
      </c>
    </row>
    <row r="41" spans="3:9" ht="30.95" thickBot="1">
      <c r="C41" s="1241"/>
      <c r="D41" s="1251"/>
      <c r="E41" s="923" t="s">
        <v>845</v>
      </c>
      <c r="F41" s="1251"/>
      <c r="G41" s="924"/>
    </row>
    <row r="44" spans="3:9" ht="15.95">
      <c r="C44" s="925" t="s">
        <v>800</v>
      </c>
      <c r="I44" s="930"/>
    </row>
    <row r="45" spans="3:9" ht="17.100000000000001" thickBot="1">
      <c r="C45" s="926" t="s">
        <v>846</v>
      </c>
      <c r="D45" s="931"/>
      <c r="E45" s="931"/>
      <c r="F45" s="931"/>
      <c r="G45" s="931"/>
    </row>
    <row r="46" spans="3:9" ht="26.1" customHeight="1">
      <c r="C46" s="1254" t="s">
        <v>819</v>
      </c>
      <c r="D46" s="1254" t="s">
        <v>847</v>
      </c>
      <c r="E46" s="1254" t="s">
        <v>848</v>
      </c>
      <c r="F46" s="1254" t="s">
        <v>849</v>
      </c>
      <c r="G46" s="906" t="s">
        <v>823</v>
      </c>
    </row>
    <row r="47" spans="3:9" ht="15.95" thickBot="1">
      <c r="C47" s="1255"/>
      <c r="D47" s="1255"/>
      <c r="E47" s="1255"/>
      <c r="F47" s="1255"/>
      <c r="G47" s="907" t="s">
        <v>824</v>
      </c>
    </row>
    <row r="48" spans="3:9" ht="30">
      <c r="C48" s="908" t="s">
        <v>850</v>
      </c>
      <c r="D48" s="910" t="s">
        <v>851</v>
      </c>
      <c r="E48" s="910" t="s">
        <v>852</v>
      </c>
      <c r="F48" s="910" t="s">
        <v>853</v>
      </c>
      <c r="G48" s="910" t="s">
        <v>854</v>
      </c>
    </row>
    <row r="49" spans="3:7" ht="45.95" thickBot="1">
      <c r="C49" s="928" t="s">
        <v>855</v>
      </c>
      <c r="D49" s="911" t="s">
        <v>856</v>
      </c>
      <c r="E49" s="911" t="s">
        <v>857</v>
      </c>
      <c r="F49" s="911" t="s">
        <v>858</v>
      </c>
      <c r="G49" s="911" t="s">
        <v>859</v>
      </c>
    </row>
    <row r="50" spans="3:7" ht="30">
      <c r="C50" s="1256" t="s">
        <v>860</v>
      </c>
      <c r="D50" s="1258" t="s">
        <v>861</v>
      </c>
      <c r="E50" s="1258" t="s">
        <v>862</v>
      </c>
      <c r="F50" s="1258" t="s">
        <v>863</v>
      </c>
      <c r="G50" s="913" t="s">
        <v>864</v>
      </c>
    </row>
    <row r="51" spans="3:7" ht="30.95" thickBot="1">
      <c r="C51" s="1257"/>
      <c r="D51" s="1259"/>
      <c r="E51" s="1259"/>
      <c r="F51" s="1259"/>
      <c r="G51" s="914" t="s">
        <v>865</v>
      </c>
    </row>
    <row r="52" spans="3:7" ht="30">
      <c r="C52" s="1260" t="s">
        <v>866</v>
      </c>
      <c r="D52" s="1262" t="s">
        <v>867</v>
      </c>
      <c r="E52" s="1262" t="s">
        <v>868</v>
      </c>
      <c r="F52" s="1262" t="s">
        <v>869</v>
      </c>
      <c r="G52" s="910" t="s">
        <v>870</v>
      </c>
    </row>
    <row r="53" spans="3:7" ht="30.95" thickBot="1">
      <c r="C53" s="1261"/>
      <c r="D53" s="1263"/>
      <c r="E53" s="1263"/>
      <c r="F53" s="1263"/>
      <c r="G53" s="911" t="s">
        <v>871</v>
      </c>
    </row>
    <row r="54" spans="3:7" ht="15">
      <c r="C54" s="1256" t="s">
        <v>148</v>
      </c>
      <c r="D54" s="1264">
        <v>0.185</v>
      </c>
      <c r="E54" s="929">
        <v>0.26500000000000001</v>
      </c>
      <c r="F54" s="1258" t="s">
        <v>872</v>
      </c>
      <c r="G54" s="913" t="s">
        <v>873</v>
      </c>
    </row>
    <row r="55" spans="3:7" ht="30.95" thickBot="1">
      <c r="C55" s="1257"/>
      <c r="D55" s="1265"/>
      <c r="E55" s="915" t="s">
        <v>874</v>
      </c>
      <c r="F55" s="1259"/>
      <c r="G55" s="914" t="s">
        <v>875</v>
      </c>
    </row>
    <row r="56" spans="3:7" ht="15">
      <c r="C56" s="1260" t="s">
        <v>876</v>
      </c>
      <c r="D56" s="1266">
        <v>0.22409999999999999</v>
      </c>
      <c r="E56" s="1262" t="s">
        <v>877</v>
      </c>
      <c r="F56" s="1262" t="s">
        <v>878</v>
      </c>
      <c r="G56" s="910" t="s">
        <v>879</v>
      </c>
    </row>
    <row r="57" spans="3:7" ht="30.95" thickBot="1">
      <c r="C57" s="1261"/>
      <c r="D57" s="1267"/>
      <c r="E57" s="1263"/>
      <c r="F57" s="1263"/>
      <c r="G57" s="911" t="s">
        <v>880</v>
      </c>
    </row>
    <row r="58" spans="3:7" ht="15">
      <c r="C58" s="1256" t="s">
        <v>881</v>
      </c>
      <c r="D58" s="912" t="s">
        <v>882</v>
      </c>
      <c r="E58" s="912" t="s">
        <v>883</v>
      </c>
      <c r="F58" s="1258" t="s">
        <v>884</v>
      </c>
      <c r="G58" s="913" t="s">
        <v>885</v>
      </c>
    </row>
    <row r="59" spans="3:7" ht="30">
      <c r="C59" s="1268"/>
      <c r="D59" s="912" t="s">
        <v>886</v>
      </c>
      <c r="E59" s="912" t="s">
        <v>887</v>
      </c>
      <c r="F59" s="1269"/>
      <c r="G59" s="913" t="s">
        <v>888</v>
      </c>
    </row>
    <row r="60" spans="3:7" ht="15" thickBot="1">
      <c r="C60" s="1257"/>
      <c r="D60" s="915"/>
      <c r="E60" s="916"/>
      <c r="F60" s="1259"/>
      <c r="G60" s="916"/>
    </row>
    <row r="63" spans="3:7" ht="15.95">
      <c r="C63" s="935" t="s">
        <v>802</v>
      </c>
    </row>
    <row r="64" spans="3:7" ht="17.100000000000001" thickBot="1">
      <c r="C64" s="926" t="s">
        <v>889</v>
      </c>
    </row>
    <row r="65" spans="3:7" ht="45.95" thickBot="1">
      <c r="C65" s="932" t="s">
        <v>819</v>
      </c>
      <c r="D65" s="933" t="s">
        <v>847</v>
      </c>
      <c r="E65" s="933" t="s">
        <v>848</v>
      </c>
      <c r="F65" s="933" t="s">
        <v>849</v>
      </c>
      <c r="G65" s="933" t="s">
        <v>890</v>
      </c>
    </row>
    <row r="66" spans="3:7" ht="15">
      <c r="C66" s="1260" t="s">
        <v>891</v>
      </c>
      <c r="D66" s="1262" t="s">
        <v>892</v>
      </c>
      <c r="E66" s="1262" t="s">
        <v>893</v>
      </c>
      <c r="F66" s="1262" t="s">
        <v>894</v>
      </c>
      <c r="G66" s="910" t="s">
        <v>895</v>
      </c>
    </row>
    <row r="67" spans="3:7" ht="30.95" thickBot="1">
      <c r="C67" s="1261"/>
      <c r="D67" s="1263"/>
      <c r="E67" s="1263"/>
      <c r="F67" s="1263"/>
      <c r="G67" s="911" t="s">
        <v>896</v>
      </c>
    </row>
    <row r="68" spans="3:7" ht="15">
      <c r="C68" s="1256" t="s">
        <v>897</v>
      </c>
      <c r="D68" s="912" t="s">
        <v>898</v>
      </c>
      <c r="E68" s="912" t="s">
        <v>899</v>
      </c>
      <c r="F68" s="1258" t="s">
        <v>900</v>
      </c>
      <c r="G68" s="913" t="s">
        <v>901</v>
      </c>
    </row>
    <row r="69" spans="3:7" ht="30">
      <c r="C69" s="1268"/>
      <c r="D69" s="912"/>
      <c r="E69" s="912" t="s">
        <v>902</v>
      </c>
      <c r="F69" s="1269"/>
      <c r="G69" s="913" t="s">
        <v>903</v>
      </c>
    </row>
    <row r="70" spans="3:7" ht="30">
      <c r="C70" s="1268"/>
      <c r="D70" s="912" t="s">
        <v>904</v>
      </c>
      <c r="E70" s="912" t="s">
        <v>905</v>
      </c>
      <c r="F70" s="1269"/>
      <c r="G70" s="934"/>
    </row>
    <row r="71" spans="3:7" ht="15.95" thickBot="1">
      <c r="C71" s="1257"/>
      <c r="D71" s="915" t="s">
        <v>906</v>
      </c>
      <c r="E71" s="916"/>
      <c r="F71" s="1259"/>
      <c r="G71" s="916"/>
    </row>
    <row r="72" spans="3:7" ht="30">
      <c r="C72" s="1260" t="s">
        <v>907</v>
      </c>
      <c r="D72" s="1270" t="s">
        <v>908</v>
      </c>
      <c r="E72" s="1262" t="s">
        <v>909</v>
      </c>
      <c r="F72" s="1262" t="s">
        <v>910</v>
      </c>
      <c r="G72" s="910" t="s">
        <v>911</v>
      </c>
    </row>
    <row r="73" spans="3:7" ht="30.95" thickBot="1">
      <c r="C73" s="1261"/>
      <c r="D73" s="1271"/>
      <c r="E73" s="1263"/>
      <c r="F73" s="1263"/>
      <c r="G73" s="911" t="s">
        <v>912</v>
      </c>
    </row>
    <row r="76" spans="3:7" ht="15.95">
      <c r="C76" s="935" t="s">
        <v>804</v>
      </c>
    </row>
    <row r="77" spans="3:7" ht="17.100000000000001" thickBot="1">
      <c r="C77" s="926" t="s">
        <v>913</v>
      </c>
    </row>
    <row r="78" spans="3:7" ht="45.95" thickBot="1">
      <c r="C78" s="932" t="s">
        <v>819</v>
      </c>
      <c r="D78" s="933" t="s">
        <v>847</v>
      </c>
      <c r="E78" s="933" t="s">
        <v>848</v>
      </c>
      <c r="F78" s="933" t="s">
        <v>849</v>
      </c>
      <c r="G78" s="933" t="s">
        <v>890</v>
      </c>
    </row>
    <row r="79" spans="3:7" ht="30">
      <c r="C79" s="1260" t="s">
        <v>914</v>
      </c>
      <c r="D79" s="1262" t="s">
        <v>915</v>
      </c>
      <c r="E79" s="1262" t="s">
        <v>916</v>
      </c>
      <c r="F79" s="1262" t="s">
        <v>917</v>
      </c>
      <c r="G79" s="910" t="s">
        <v>918</v>
      </c>
    </row>
    <row r="80" spans="3:7" ht="30.95" thickBot="1">
      <c r="C80" s="1261"/>
      <c r="D80" s="1263"/>
      <c r="E80" s="1263"/>
      <c r="F80" s="1263"/>
      <c r="G80" s="911" t="s">
        <v>919</v>
      </c>
    </row>
    <row r="81" spans="3:7" ht="15">
      <c r="C81" s="1256" t="s">
        <v>920</v>
      </c>
      <c r="D81" s="1258" t="s">
        <v>921</v>
      </c>
      <c r="E81" s="1258" t="s">
        <v>922</v>
      </c>
      <c r="F81" s="1258" t="s">
        <v>923</v>
      </c>
      <c r="G81" s="913" t="s">
        <v>924</v>
      </c>
    </row>
    <row r="82" spans="3:7" ht="30.95" thickBot="1">
      <c r="C82" s="1257"/>
      <c r="D82" s="1259"/>
      <c r="E82" s="1259"/>
      <c r="F82" s="1259"/>
      <c r="G82" s="914" t="s">
        <v>925</v>
      </c>
    </row>
    <row r="83" spans="3:7" ht="15">
      <c r="C83" s="1260" t="s">
        <v>169</v>
      </c>
      <c r="D83" s="1272">
        <v>30000</v>
      </c>
      <c r="E83" s="1262" t="s">
        <v>926</v>
      </c>
      <c r="F83" s="1262" t="s">
        <v>927</v>
      </c>
      <c r="G83" s="910" t="s">
        <v>928</v>
      </c>
    </row>
    <row r="84" spans="3:7" ht="30.95" thickBot="1">
      <c r="C84" s="1261"/>
      <c r="D84" s="1273"/>
      <c r="E84" s="1263"/>
      <c r="F84" s="1263"/>
      <c r="G84" s="911" t="s">
        <v>929</v>
      </c>
    </row>
    <row r="85" spans="3:7" ht="30">
      <c r="C85" s="1256" t="s">
        <v>930</v>
      </c>
      <c r="D85" s="1274">
        <v>43000</v>
      </c>
      <c r="E85" s="936">
        <v>58000</v>
      </c>
      <c r="F85" s="1258" t="s">
        <v>931</v>
      </c>
      <c r="G85" s="913" t="s">
        <v>932</v>
      </c>
    </row>
    <row r="86" spans="3:7" ht="30.95" thickBot="1">
      <c r="C86" s="1257"/>
      <c r="D86" s="1275"/>
      <c r="E86" s="915" t="s">
        <v>933</v>
      </c>
      <c r="F86" s="1259"/>
      <c r="G86" s="914" t="s">
        <v>934</v>
      </c>
    </row>
    <row r="87" spans="3:7" ht="15">
      <c r="C87" s="1260" t="s">
        <v>935</v>
      </c>
      <c r="D87" s="1262" t="s">
        <v>936</v>
      </c>
      <c r="E87" s="909" t="s">
        <v>937</v>
      </c>
      <c r="F87" s="1262" t="s">
        <v>938</v>
      </c>
      <c r="G87" s="910" t="s">
        <v>939</v>
      </c>
    </row>
    <row r="88" spans="3:7" ht="30.95" thickBot="1">
      <c r="C88" s="1261"/>
      <c r="D88" s="1263"/>
      <c r="E88" s="937" t="s">
        <v>940</v>
      </c>
      <c r="F88" s="1263"/>
      <c r="G88" s="911" t="s">
        <v>941</v>
      </c>
    </row>
  </sheetData>
  <mergeCells count="68">
    <mergeCell ref="C87:C88"/>
    <mergeCell ref="D87:D88"/>
    <mergeCell ref="F87:F88"/>
    <mergeCell ref="C83:C84"/>
    <mergeCell ref="D83:D84"/>
    <mergeCell ref="E83:E84"/>
    <mergeCell ref="F83:F84"/>
    <mergeCell ref="C85:C86"/>
    <mergeCell ref="D85:D86"/>
    <mergeCell ref="F85:F86"/>
    <mergeCell ref="C79:C80"/>
    <mergeCell ref="D79:D80"/>
    <mergeCell ref="E79:E80"/>
    <mergeCell ref="F79:F80"/>
    <mergeCell ref="C81:C82"/>
    <mergeCell ref="D81:D82"/>
    <mergeCell ref="E81:E82"/>
    <mergeCell ref="F81:F82"/>
    <mergeCell ref="C68:C71"/>
    <mergeCell ref="F68:F71"/>
    <mergeCell ref="C72:C73"/>
    <mergeCell ref="D72:D73"/>
    <mergeCell ref="E72:E73"/>
    <mergeCell ref="F72:F73"/>
    <mergeCell ref="C58:C60"/>
    <mergeCell ref="F58:F60"/>
    <mergeCell ref="C66:C67"/>
    <mergeCell ref="D66:D67"/>
    <mergeCell ref="E66:E67"/>
    <mergeCell ref="F66:F67"/>
    <mergeCell ref="C54:C55"/>
    <mergeCell ref="D54:D55"/>
    <mergeCell ref="F54:F55"/>
    <mergeCell ref="C56:C57"/>
    <mergeCell ref="D56:D57"/>
    <mergeCell ref="E56:E57"/>
    <mergeCell ref="F56:F57"/>
    <mergeCell ref="C50:C51"/>
    <mergeCell ref="D50:D51"/>
    <mergeCell ref="E50:E51"/>
    <mergeCell ref="F50:F51"/>
    <mergeCell ref="C52:C53"/>
    <mergeCell ref="D52:D53"/>
    <mergeCell ref="E52:E53"/>
    <mergeCell ref="F52:F53"/>
    <mergeCell ref="C39:C41"/>
    <mergeCell ref="D39:D41"/>
    <mergeCell ref="F39:F41"/>
    <mergeCell ref="C46:C47"/>
    <mergeCell ref="D46:D47"/>
    <mergeCell ref="E46:E47"/>
    <mergeCell ref="F46:F47"/>
    <mergeCell ref="C35:C36"/>
    <mergeCell ref="D35:D36"/>
    <mergeCell ref="E35:E36"/>
    <mergeCell ref="F35:F36"/>
    <mergeCell ref="C37:C38"/>
    <mergeCell ref="D37:D38"/>
    <mergeCell ref="E37:E38"/>
    <mergeCell ref="F37:F38"/>
    <mergeCell ref="C31:C32"/>
    <mergeCell ref="D31:D32"/>
    <mergeCell ref="E31:E32"/>
    <mergeCell ref="F31:F32"/>
    <mergeCell ref="C33:C34"/>
    <mergeCell ref="D33:D34"/>
    <mergeCell ref="E33:E34"/>
    <mergeCell ref="F33:F3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66070-982D-E047-964D-7EB2B1FE106E}">
  <sheetPr>
    <tabColor theme="7"/>
  </sheetPr>
  <dimension ref="B4:E13"/>
  <sheetViews>
    <sheetView workbookViewId="0">
      <selection activeCell="F20" sqref="F20"/>
    </sheetView>
  </sheetViews>
  <sheetFormatPr defaultColWidth="11.42578125" defaultRowHeight="12.95"/>
  <sheetData>
    <row r="4" spans="2:5" ht="15">
      <c r="B4" s="525"/>
      <c r="C4" s="526" t="s">
        <v>942</v>
      </c>
      <c r="D4" s="523"/>
      <c r="E4" s="523"/>
    </row>
    <row r="5" spans="2:5" ht="15">
      <c r="B5" s="525">
        <v>1</v>
      </c>
      <c r="C5" s="523" t="s">
        <v>943</v>
      </c>
      <c r="D5" s="525"/>
      <c r="E5" s="522"/>
    </row>
    <row r="6" spans="2:5" ht="15">
      <c r="B6" s="525">
        <v>2</v>
      </c>
      <c r="C6" s="523" t="s">
        <v>944</v>
      </c>
      <c r="D6" s="525"/>
      <c r="E6" s="522"/>
    </row>
    <row r="7" spans="2:5" ht="15">
      <c r="B7" s="525">
        <v>3</v>
      </c>
      <c r="C7" s="523" t="s">
        <v>945</v>
      </c>
      <c r="D7" s="525"/>
      <c r="E7" s="522"/>
    </row>
    <row r="8" spans="2:5" ht="15">
      <c r="B8" s="525">
        <v>4</v>
      </c>
      <c r="C8" s="523" t="s">
        <v>946</v>
      </c>
      <c r="D8" s="525"/>
      <c r="E8" s="522"/>
    </row>
    <row r="9" spans="2:5" ht="15">
      <c r="B9" s="525">
        <v>5</v>
      </c>
      <c r="C9" s="523" t="s">
        <v>947</v>
      </c>
      <c r="D9" s="525"/>
      <c r="E9" s="522"/>
    </row>
    <row r="10" spans="2:5" ht="15">
      <c r="B10" s="525">
        <v>6</v>
      </c>
      <c r="C10" s="523" t="s">
        <v>948</v>
      </c>
      <c r="D10" s="523"/>
      <c r="E10" s="522"/>
    </row>
    <row r="11" spans="2:5" ht="15">
      <c r="B11" s="525">
        <v>7</v>
      </c>
      <c r="C11" s="523" t="s">
        <v>949</v>
      </c>
      <c r="D11" s="525"/>
      <c r="E11" s="522"/>
    </row>
    <row r="12" spans="2:5" ht="15">
      <c r="B12" s="525">
        <v>7</v>
      </c>
      <c r="C12" s="523" t="s">
        <v>950</v>
      </c>
      <c r="D12" s="525"/>
      <c r="E12" s="522"/>
    </row>
    <row r="13" spans="2:5" ht="15">
      <c r="B13" s="564">
        <v>8</v>
      </c>
      <c r="C13" s="523" t="s">
        <v>951</v>
      </c>
      <c r="D13" s="525"/>
      <c r="E13" s="52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26184-D702-4B1F-A6D1-C71259842C74}">
  <sheetPr>
    <pageSetUpPr fitToPage="1"/>
  </sheetPr>
  <dimension ref="A1:T49"/>
  <sheetViews>
    <sheetView topLeftCell="A4" workbookViewId="0">
      <pane xSplit="2" ySplit="4" topLeftCell="J10" activePane="bottomRight" state="frozen"/>
      <selection pane="bottomRight" activeCell="A41" sqref="A41"/>
      <selection pane="bottomLeft" activeCell="D18" sqref="D18"/>
      <selection pane="topRight" activeCell="D18" sqref="D18"/>
    </sheetView>
  </sheetViews>
  <sheetFormatPr defaultColWidth="9.140625" defaultRowHeight="14.1"/>
  <cols>
    <col min="1" max="1" width="5.28515625" style="35" customWidth="1"/>
    <col min="2" max="2" width="70.140625" style="35" customWidth="1"/>
    <col min="3" max="4" width="20.85546875" style="35" customWidth="1"/>
    <col min="5" max="5" width="18.42578125" style="35" customWidth="1"/>
    <col min="6" max="6" width="19" style="35" customWidth="1"/>
    <col min="7" max="19" width="20.85546875" style="35" customWidth="1"/>
    <col min="20" max="20" width="21.85546875" style="35" customWidth="1"/>
    <col min="21" max="256" width="9.140625" style="35"/>
    <col min="257" max="257" width="5.28515625" style="35" customWidth="1"/>
    <col min="258" max="258" width="57.85546875" style="35" customWidth="1"/>
    <col min="259" max="260" width="20.85546875" style="35" customWidth="1"/>
    <col min="261" max="261" width="18.42578125" style="35" customWidth="1"/>
    <col min="262" max="262" width="19" style="35" customWidth="1"/>
    <col min="263" max="275" width="20.85546875" style="35" customWidth="1"/>
    <col min="276" max="276" width="21.85546875" style="35" customWidth="1"/>
    <col min="277" max="512" width="9.140625" style="35"/>
    <col min="513" max="513" width="5.28515625" style="35" customWidth="1"/>
    <col min="514" max="514" width="57.85546875" style="35" customWidth="1"/>
    <col min="515" max="516" width="20.85546875" style="35" customWidth="1"/>
    <col min="517" max="517" width="18.42578125" style="35" customWidth="1"/>
    <col min="518" max="518" width="19" style="35" customWidth="1"/>
    <col min="519" max="531" width="20.85546875" style="35" customWidth="1"/>
    <col min="532" max="532" width="21.85546875" style="35" customWidth="1"/>
    <col min="533" max="768" width="9.140625" style="35"/>
    <col min="769" max="769" width="5.28515625" style="35" customWidth="1"/>
    <col min="770" max="770" width="57.85546875" style="35" customWidth="1"/>
    <col min="771" max="772" width="20.85546875" style="35" customWidth="1"/>
    <col min="773" max="773" width="18.42578125" style="35" customWidth="1"/>
    <col min="774" max="774" width="19" style="35" customWidth="1"/>
    <col min="775" max="787" width="20.85546875" style="35" customWidth="1"/>
    <col min="788" max="788" width="21.85546875" style="35" customWidth="1"/>
    <col min="789" max="1024" width="9.140625" style="35"/>
    <col min="1025" max="1025" width="5.28515625" style="35" customWidth="1"/>
    <col min="1026" max="1026" width="57.85546875" style="35" customWidth="1"/>
    <col min="1027" max="1028" width="20.85546875" style="35" customWidth="1"/>
    <col min="1029" max="1029" width="18.42578125" style="35" customWidth="1"/>
    <col min="1030" max="1030" width="19" style="35" customWidth="1"/>
    <col min="1031" max="1043" width="20.85546875" style="35" customWidth="1"/>
    <col min="1044" max="1044" width="21.85546875" style="35" customWidth="1"/>
    <col min="1045" max="1280" width="9.140625" style="35"/>
    <col min="1281" max="1281" width="5.28515625" style="35" customWidth="1"/>
    <col min="1282" max="1282" width="57.85546875" style="35" customWidth="1"/>
    <col min="1283" max="1284" width="20.85546875" style="35" customWidth="1"/>
    <col min="1285" max="1285" width="18.42578125" style="35" customWidth="1"/>
    <col min="1286" max="1286" width="19" style="35" customWidth="1"/>
    <col min="1287" max="1299" width="20.85546875" style="35" customWidth="1"/>
    <col min="1300" max="1300" width="21.85546875" style="35" customWidth="1"/>
    <col min="1301" max="1536" width="9.140625" style="35"/>
    <col min="1537" max="1537" width="5.28515625" style="35" customWidth="1"/>
    <col min="1538" max="1538" width="57.85546875" style="35" customWidth="1"/>
    <col min="1539" max="1540" width="20.85546875" style="35" customWidth="1"/>
    <col min="1541" max="1541" width="18.42578125" style="35" customWidth="1"/>
    <col min="1542" max="1542" width="19" style="35" customWidth="1"/>
    <col min="1543" max="1555" width="20.85546875" style="35" customWidth="1"/>
    <col min="1556" max="1556" width="21.85546875" style="35" customWidth="1"/>
    <col min="1557" max="1792" width="9.140625" style="35"/>
    <col min="1793" max="1793" width="5.28515625" style="35" customWidth="1"/>
    <col min="1794" max="1794" width="57.85546875" style="35" customWidth="1"/>
    <col min="1795" max="1796" width="20.85546875" style="35" customWidth="1"/>
    <col min="1797" max="1797" width="18.42578125" style="35" customWidth="1"/>
    <col min="1798" max="1798" width="19" style="35" customWidth="1"/>
    <col min="1799" max="1811" width="20.85546875" style="35" customWidth="1"/>
    <col min="1812" max="1812" width="21.85546875" style="35" customWidth="1"/>
    <col min="1813" max="2048" width="9.140625" style="35"/>
    <col min="2049" max="2049" width="5.28515625" style="35" customWidth="1"/>
    <col min="2050" max="2050" width="57.85546875" style="35" customWidth="1"/>
    <col min="2051" max="2052" width="20.85546875" style="35" customWidth="1"/>
    <col min="2053" max="2053" width="18.42578125" style="35" customWidth="1"/>
    <col min="2054" max="2054" width="19" style="35" customWidth="1"/>
    <col min="2055" max="2067" width="20.85546875" style="35" customWidth="1"/>
    <col min="2068" max="2068" width="21.85546875" style="35" customWidth="1"/>
    <col min="2069" max="2304" width="9.140625" style="35"/>
    <col min="2305" max="2305" width="5.28515625" style="35" customWidth="1"/>
    <col min="2306" max="2306" width="57.85546875" style="35" customWidth="1"/>
    <col min="2307" max="2308" width="20.85546875" style="35" customWidth="1"/>
    <col min="2309" max="2309" width="18.42578125" style="35" customWidth="1"/>
    <col min="2310" max="2310" width="19" style="35" customWidth="1"/>
    <col min="2311" max="2323" width="20.85546875" style="35" customWidth="1"/>
    <col min="2324" max="2324" width="21.85546875" style="35" customWidth="1"/>
    <col min="2325" max="2560" width="9.140625" style="35"/>
    <col min="2561" max="2561" width="5.28515625" style="35" customWidth="1"/>
    <col min="2562" max="2562" width="57.85546875" style="35" customWidth="1"/>
    <col min="2563" max="2564" width="20.85546875" style="35" customWidth="1"/>
    <col min="2565" max="2565" width="18.42578125" style="35" customWidth="1"/>
    <col min="2566" max="2566" width="19" style="35" customWidth="1"/>
    <col min="2567" max="2579" width="20.85546875" style="35" customWidth="1"/>
    <col min="2580" max="2580" width="21.85546875" style="35" customWidth="1"/>
    <col min="2581" max="2816" width="9.140625" style="35"/>
    <col min="2817" max="2817" width="5.28515625" style="35" customWidth="1"/>
    <col min="2818" max="2818" width="57.85546875" style="35" customWidth="1"/>
    <col min="2819" max="2820" width="20.85546875" style="35" customWidth="1"/>
    <col min="2821" max="2821" width="18.42578125" style="35" customWidth="1"/>
    <col min="2822" max="2822" width="19" style="35" customWidth="1"/>
    <col min="2823" max="2835" width="20.85546875" style="35" customWidth="1"/>
    <col min="2836" max="2836" width="21.85546875" style="35" customWidth="1"/>
    <col min="2837" max="3072" width="9.140625" style="35"/>
    <col min="3073" max="3073" width="5.28515625" style="35" customWidth="1"/>
    <col min="3074" max="3074" width="57.85546875" style="35" customWidth="1"/>
    <col min="3075" max="3076" width="20.85546875" style="35" customWidth="1"/>
    <col min="3077" max="3077" width="18.42578125" style="35" customWidth="1"/>
    <col min="3078" max="3078" width="19" style="35" customWidth="1"/>
    <col min="3079" max="3091" width="20.85546875" style="35" customWidth="1"/>
    <col min="3092" max="3092" width="21.85546875" style="35" customWidth="1"/>
    <col min="3093" max="3328" width="9.140625" style="35"/>
    <col min="3329" max="3329" width="5.28515625" style="35" customWidth="1"/>
    <col min="3330" max="3330" width="57.85546875" style="35" customWidth="1"/>
    <col min="3331" max="3332" width="20.85546875" style="35" customWidth="1"/>
    <col min="3333" max="3333" width="18.42578125" style="35" customWidth="1"/>
    <col min="3334" max="3334" width="19" style="35" customWidth="1"/>
    <col min="3335" max="3347" width="20.85546875" style="35" customWidth="1"/>
    <col min="3348" max="3348" width="21.85546875" style="35" customWidth="1"/>
    <col min="3349" max="3584" width="9.140625" style="35"/>
    <col min="3585" max="3585" width="5.28515625" style="35" customWidth="1"/>
    <col min="3586" max="3586" width="57.85546875" style="35" customWidth="1"/>
    <col min="3587" max="3588" width="20.85546875" style="35" customWidth="1"/>
    <col min="3589" max="3589" width="18.42578125" style="35" customWidth="1"/>
    <col min="3590" max="3590" width="19" style="35" customWidth="1"/>
    <col min="3591" max="3603" width="20.85546875" style="35" customWidth="1"/>
    <col min="3604" max="3604" width="21.85546875" style="35" customWidth="1"/>
    <col min="3605" max="3840" width="9.140625" style="35"/>
    <col min="3841" max="3841" width="5.28515625" style="35" customWidth="1"/>
    <col min="3842" max="3842" width="57.85546875" style="35" customWidth="1"/>
    <col min="3843" max="3844" width="20.85546875" style="35" customWidth="1"/>
    <col min="3845" max="3845" width="18.42578125" style="35" customWidth="1"/>
    <col min="3846" max="3846" width="19" style="35" customWidth="1"/>
    <col min="3847" max="3859" width="20.85546875" style="35" customWidth="1"/>
    <col min="3860" max="3860" width="21.85546875" style="35" customWidth="1"/>
    <col min="3861" max="4096" width="9.140625" style="35"/>
    <col min="4097" max="4097" width="5.28515625" style="35" customWidth="1"/>
    <col min="4098" max="4098" width="57.85546875" style="35" customWidth="1"/>
    <col min="4099" max="4100" width="20.85546875" style="35" customWidth="1"/>
    <col min="4101" max="4101" width="18.42578125" style="35" customWidth="1"/>
    <col min="4102" max="4102" width="19" style="35" customWidth="1"/>
    <col min="4103" max="4115" width="20.85546875" style="35" customWidth="1"/>
    <col min="4116" max="4116" width="21.85546875" style="35" customWidth="1"/>
    <col min="4117" max="4352" width="9.140625" style="35"/>
    <col min="4353" max="4353" width="5.28515625" style="35" customWidth="1"/>
    <col min="4354" max="4354" width="57.85546875" style="35" customWidth="1"/>
    <col min="4355" max="4356" width="20.85546875" style="35" customWidth="1"/>
    <col min="4357" max="4357" width="18.42578125" style="35" customWidth="1"/>
    <col min="4358" max="4358" width="19" style="35" customWidth="1"/>
    <col min="4359" max="4371" width="20.85546875" style="35" customWidth="1"/>
    <col min="4372" max="4372" width="21.85546875" style="35" customWidth="1"/>
    <col min="4373" max="4608" width="9.140625" style="35"/>
    <col min="4609" max="4609" width="5.28515625" style="35" customWidth="1"/>
    <col min="4610" max="4610" width="57.85546875" style="35" customWidth="1"/>
    <col min="4611" max="4612" width="20.85546875" style="35" customWidth="1"/>
    <col min="4613" max="4613" width="18.42578125" style="35" customWidth="1"/>
    <col min="4614" max="4614" width="19" style="35" customWidth="1"/>
    <col min="4615" max="4627" width="20.85546875" style="35" customWidth="1"/>
    <col min="4628" max="4628" width="21.85546875" style="35" customWidth="1"/>
    <col min="4629" max="4864" width="9.140625" style="35"/>
    <col min="4865" max="4865" width="5.28515625" style="35" customWidth="1"/>
    <col min="4866" max="4866" width="57.85546875" style="35" customWidth="1"/>
    <col min="4867" max="4868" width="20.85546875" style="35" customWidth="1"/>
    <col min="4869" max="4869" width="18.42578125" style="35" customWidth="1"/>
    <col min="4870" max="4870" width="19" style="35" customWidth="1"/>
    <col min="4871" max="4883" width="20.85546875" style="35" customWidth="1"/>
    <col min="4884" max="4884" width="21.85546875" style="35" customWidth="1"/>
    <col min="4885" max="5120" width="9.140625" style="35"/>
    <col min="5121" max="5121" width="5.28515625" style="35" customWidth="1"/>
    <col min="5122" max="5122" width="57.85546875" style="35" customWidth="1"/>
    <col min="5123" max="5124" width="20.85546875" style="35" customWidth="1"/>
    <col min="5125" max="5125" width="18.42578125" style="35" customWidth="1"/>
    <col min="5126" max="5126" width="19" style="35" customWidth="1"/>
    <col min="5127" max="5139" width="20.85546875" style="35" customWidth="1"/>
    <col min="5140" max="5140" width="21.85546875" style="35" customWidth="1"/>
    <col min="5141" max="5376" width="9.140625" style="35"/>
    <col min="5377" max="5377" width="5.28515625" style="35" customWidth="1"/>
    <col min="5378" max="5378" width="57.85546875" style="35" customWidth="1"/>
    <col min="5379" max="5380" width="20.85546875" style="35" customWidth="1"/>
    <col min="5381" max="5381" width="18.42578125" style="35" customWidth="1"/>
    <col min="5382" max="5382" width="19" style="35" customWidth="1"/>
    <col min="5383" max="5395" width="20.85546875" style="35" customWidth="1"/>
    <col min="5396" max="5396" width="21.85546875" style="35" customWidth="1"/>
    <col min="5397" max="5632" width="9.140625" style="35"/>
    <col min="5633" max="5633" width="5.28515625" style="35" customWidth="1"/>
    <col min="5634" max="5634" width="57.85546875" style="35" customWidth="1"/>
    <col min="5635" max="5636" width="20.85546875" style="35" customWidth="1"/>
    <col min="5637" max="5637" width="18.42578125" style="35" customWidth="1"/>
    <col min="5638" max="5638" width="19" style="35" customWidth="1"/>
    <col min="5639" max="5651" width="20.85546875" style="35" customWidth="1"/>
    <col min="5652" max="5652" width="21.85546875" style="35" customWidth="1"/>
    <col min="5653" max="5888" width="9.140625" style="35"/>
    <col min="5889" max="5889" width="5.28515625" style="35" customWidth="1"/>
    <col min="5890" max="5890" width="57.85546875" style="35" customWidth="1"/>
    <col min="5891" max="5892" width="20.85546875" style="35" customWidth="1"/>
    <col min="5893" max="5893" width="18.42578125" style="35" customWidth="1"/>
    <col min="5894" max="5894" width="19" style="35" customWidth="1"/>
    <col min="5895" max="5907" width="20.85546875" style="35" customWidth="1"/>
    <col min="5908" max="5908" width="21.85546875" style="35" customWidth="1"/>
    <col min="5909" max="6144" width="9.140625" style="35"/>
    <col min="6145" max="6145" width="5.28515625" style="35" customWidth="1"/>
    <col min="6146" max="6146" width="57.85546875" style="35" customWidth="1"/>
    <col min="6147" max="6148" width="20.85546875" style="35" customWidth="1"/>
    <col min="6149" max="6149" width="18.42578125" style="35" customWidth="1"/>
    <col min="6150" max="6150" width="19" style="35" customWidth="1"/>
    <col min="6151" max="6163" width="20.85546875" style="35" customWidth="1"/>
    <col min="6164" max="6164" width="21.85546875" style="35" customWidth="1"/>
    <col min="6165" max="6400" width="9.140625" style="35"/>
    <col min="6401" max="6401" width="5.28515625" style="35" customWidth="1"/>
    <col min="6402" max="6402" width="57.85546875" style="35" customWidth="1"/>
    <col min="6403" max="6404" width="20.85546875" style="35" customWidth="1"/>
    <col min="6405" max="6405" width="18.42578125" style="35" customWidth="1"/>
    <col min="6406" max="6406" width="19" style="35" customWidth="1"/>
    <col min="6407" max="6419" width="20.85546875" style="35" customWidth="1"/>
    <col min="6420" max="6420" width="21.85546875" style="35" customWidth="1"/>
    <col min="6421" max="6656" width="9.140625" style="35"/>
    <col min="6657" max="6657" width="5.28515625" style="35" customWidth="1"/>
    <col min="6658" max="6658" width="57.85546875" style="35" customWidth="1"/>
    <col min="6659" max="6660" width="20.85546875" style="35" customWidth="1"/>
    <col min="6661" max="6661" width="18.42578125" style="35" customWidth="1"/>
    <col min="6662" max="6662" width="19" style="35" customWidth="1"/>
    <col min="6663" max="6675" width="20.85546875" style="35" customWidth="1"/>
    <col min="6676" max="6676" width="21.85546875" style="35" customWidth="1"/>
    <col min="6677" max="6912" width="9.140625" style="35"/>
    <col min="6913" max="6913" width="5.28515625" style="35" customWidth="1"/>
    <col min="6914" max="6914" width="57.85546875" style="35" customWidth="1"/>
    <col min="6915" max="6916" width="20.85546875" style="35" customWidth="1"/>
    <col min="6917" max="6917" width="18.42578125" style="35" customWidth="1"/>
    <col min="6918" max="6918" width="19" style="35" customWidth="1"/>
    <col min="6919" max="6931" width="20.85546875" style="35" customWidth="1"/>
    <col min="6932" max="6932" width="21.85546875" style="35" customWidth="1"/>
    <col min="6933" max="7168" width="9.140625" style="35"/>
    <col min="7169" max="7169" width="5.28515625" style="35" customWidth="1"/>
    <col min="7170" max="7170" width="57.85546875" style="35" customWidth="1"/>
    <col min="7171" max="7172" width="20.85546875" style="35" customWidth="1"/>
    <col min="7173" max="7173" width="18.42578125" style="35" customWidth="1"/>
    <col min="7174" max="7174" width="19" style="35" customWidth="1"/>
    <col min="7175" max="7187" width="20.85546875" style="35" customWidth="1"/>
    <col min="7188" max="7188" width="21.85546875" style="35" customWidth="1"/>
    <col min="7189" max="7424" width="9.140625" style="35"/>
    <col min="7425" max="7425" width="5.28515625" style="35" customWidth="1"/>
    <col min="7426" max="7426" width="57.85546875" style="35" customWidth="1"/>
    <col min="7427" max="7428" width="20.85546875" style="35" customWidth="1"/>
    <col min="7429" max="7429" width="18.42578125" style="35" customWidth="1"/>
    <col min="7430" max="7430" width="19" style="35" customWidth="1"/>
    <col min="7431" max="7443" width="20.85546875" style="35" customWidth="1"/>
    <col min="7444" max="7444" width="21.85546875" style="35" customWidth="1"/>
    <col min="7445" max="7680" width="9.140625" style="35"/>
    <col min="7681" max="7681" width="5.28515625" style="35" customWidth="1"/>
    <col min="7682" max="7682" width="57.85546875" style="35" customWidth="1"/>
    <col min="7683" max="7684" width="20.85546875" style="35" customWidth="1"/>
    <col min="7685" max="7685" width="18.42578125" style="35" customWidth="1"/>
    <col min="7686" max="7686" width="19" style="35" customWidth="1"/>
    <col min="7687" max="7699" width="20.85546875" style="35" customWidth="1"/>
    <col min="7700" max="7700" width="21.85546875" style="35" customWidth="1"/>
    <col min="7701" max="7936" width="9.140625" style="35"/>
    <col min="7937" max="7937" width="5.28515625" style="35" customWidth="1"/>
    <col min="7938" max="7938" width="57.85546875" style="35" customWidth="1"/>
    <col min="7939" max="7940" width="20.85546875" style="35" customWidth="1"/>
    <col min="7941" max="7941" width="18.42578125" style="35" customWidth="1"/>
    <col min="7942" max="7942" width="19" style="35" customWidth="1"/>
    <col min="7943" max="7955" width="20.85546875" style="35" customWidth="1"/>
    <col min="7956" max="7956" width="21.85546875" style="35" customWidth="1"/>
    <col min="7957" max="8192" width="9.140625" style="35"/>
    <col min="8193" max="8193" width="5.28515625" style="35" customWidth="1"/>
    <col min="8194" max="8194" width="57.85546875" style="35" customWidth="1"/>
    <col min="8195" max="8196" width="20.85546875" style="35" customWidth="1"/>
    <col min="8197" max="8197" width="18.42578125" style="35" customWidth="1"/>
    <col min="8198" max="8198" width="19" style="35" customWidth="1"/>
    <col min="8199" max="8211" width="20.85546875" style="35" customWidth="1"/>
    <col min="8212" max="8212" width="21.85546875" style="35" customWidth="1"/>
    <col min="8213" max="8448" width="9.140625" style="35"/>
    <col min="8449" max="8449" width="5.28515625" style="35" customWidth="1"/>
    <col min="8450" max="8450" width="57.85546875" style="35" customWidth="1"/>
    <col min="8451" max="8452" width="20.85546875" style="35" customWidth="1"/>
    <col min="8453" max="8453" width="18.42578125" style="35" customWidth="1"/>
    <col min="8454" max="8454" width="19" style="35" customWidth="1"/>
    <col min="8455" max="8467" width="20.85546875" style="35" customWidth="1"/>
    <col min="8468" max="8468" width="21.85546875" style="35" customWidth="1"/>
    <col min="8469" max="8704" width="9.140625" style="35"/>
    <col min="8705" max="8705" width="5.28515625" style="35" customWidth="1"/>
    <col min="8706" max="8706" width="57.85546875" style="35" customWidth="1"/>
    <col min="8707" max="8708" width="20.85546875" style="35" customWidth="1"/>
    <col min="8709" max="8709" width="18.42578125" style="35" customWidth="1"/>
    <col min="8710" max="8710" width="19" style="35" customWidth="1"/>
    <col min="8711" max="8723" width="20.85546875" style="35" customWidth="1"/>
    <col min="8724" max="8724" width="21.85546875" style="35" customWidth="1"/>
    <col min="8725" max="8960" width="9.140625" style="35"/>
    <col min="8961" max="8961" width="5.28515625" style="35" customWidth="1"/>
    <col min="8962" max="8962" width="57.85546875" style="35" customWidth="1"/>
    <col min="8963" max="8964" width="20.85546875" style="35" customWidth="1"/>
    <col min="8965" max="8965" width="18.42578125" style="35" customWidth="1"/>
    <col min="8966" max="8966" width="19" style="35" customWidth="1"/>
    <col min="8967" max="8979" width="20.85546875" style="35" customWidth="1"/>
    <col min="8980" max="8980" width="21.85546875" style="35" customWidth="1"/>
    <col min="8981" max="9216" width="9.140625" style="35"/>
    <col min="9217" max="9217" width="5.28515625" style="35" customWidth="1"/>
    <col min="9218" max="9218" width="57.85546875" style="35" customWidth="1"/>
    <col min="9219" max="9220" width="20.85546875" style="35" customWidth="1"/>
    <col min="9221" max="9221" width="18.42578125" style="35" customWidth="1"/>
    <col min="9222" max="9222" width="19" style="35" customWidth="1"/>
    <col min="9223" max="9235" width="20.85546875" style="35" customWidth="1"/>
    <col min="9236" max="9236" width="21.85546875" style="35" customWidth="1"/>
    <col min="9237" max="9472" width="9.140625" style="35"/>
    <col min="9473" max="9473" width="5.28515625" style="35" customWidth="1"/>
    <col min="9474" max="9474" width="57.85546875" style="35" customWidth="1"/>
    <col min="9475" max="9476" width="20.85546875" style="35" customWidth="1"/>
    <col min="9477" max="9477" width="18.42578125" style="35" customWidth="1"/>
    <col min="9478" max="9478" width="19" style="35" customWidth="1"/>
    <col min="9479" max="9491" width="20.85546875" style="35" customWidth="1"/>
    <col min="9492" max="9492" width="21.85546875" style="35" customWidth="1"/>
    <col min="9493" max="9728" width="9.140625" style="35"/>
    <col min="9729" max="9729" width="5.28515625" style="35" customWidth="1"/>
    <col min="9730" max="9730" width="57.85546875" style="35" customWidth="1"/>
    <col min="9731" max="9732" width="20.85546875" style="35" customWidth="1"/>
    <col min="9733" max="9733" width="18.42578125" style="35" customWidth="1"/>
    <col min="9734" max="9734" width="19" style="35" customWidth="1"/>
    <col min="9735" max="9747" width="20.85546875" style="35" customWidth="1"/>
    <col min="9748" max="9748" width="21.85546875" style="35" customWidth="1"/>
    <col min="9749" max="9984" width="9.140625" style="35"/>
    <col min="9985" max="9985" width="5.28515625" style="35" customWidth="1"/>
    <col min="9986" max="9986" width="57.85546875" style="35" customWidth="1"/>
    <col min="9987" max="9988" width="20.85546875" style="35" customWidth="1"/>
    <col min="9989" max="9989" width="18.42578125" style="35" customWidth="1"/>
    <col min="9990" max="9990" width="19" style="35" customWidth="1"/>
    <col min="9991" max="10003" width="20.85546875" style="35" customWidth="1"/>
    <col min="10004" max="10004" width="21.85546875" style="35" customWidth="1"/>
    <col min="10005" max="10240" width="9.140625" style="35"/>
    <col min="10241" max="10241" width="5.28515625" style="35" customWidth="1"/>
    <col min="10242" max="10242" width="57.85546875" style="35" customWidth="1"/>
    <col min="10243" max="10244" width="20.85546875" style="35" customWidth="1"/>
    <col min="10245" max="10245" width="18.42578125" style="35" customWidth="1"/>
    <col min="10246" max="10246" width="19" style="35" customWidth="1"/>
    <col min="10247" max="10259" width="20.85546875" style="35" customWidth="1"/>
    <col min="10260" max="10260" width="21.85546875" style="35" customWidth="1"/>
    <col min="10261" max="10496" width="9.140625" style="35"/>
    <col min="10497" max="10497" width="5.28515625" style="35" customWidth="1"/>
    <col min="10498" max="10498" width="57.85546875" style="35" customWidth="1"/>
    <col min="10499" max="10500" width="20.85546875" style="35" customWidth="1"/>
    <col min="10501" max="10501" width="18.42578125" style="35" customWidth="1"/>
    <col min="10502" max="10502" width="19" style="35" customWidth="1"/>
    <col min="10503" max="10515" width="20.85546875" style="35" customWidth="1"/>
    <col min="10516" max="10516" width="21.85546875" style="35" customWidth="1"/>
    <col min="10517" max="10752" width="9.140625" style="35"/>
    <col min="10753" max="10753" width="5.28515625" style="35" customWidth="1"/>
    <col min="10754" max="10754" width="57.85546875" style="35" customWidth="1"/>
    <col min="10755" max="10756" width="20.85546875" style="35" customWidth="1"/>
    <col min="10757" max="10757" width="18.42578125" style="35" customWidth="1"/>
    <col min="10758" max="10758" width="19" style="35" customWidth="1"/>
    <col min="10759" max="10771" width="20.85546875" style="35" customWidth="1"/>
    <col min="10772" max="10772" width="21.85546875" style="35" customWidth="1"/>
    <col min="10773" max="11008" width="9.140625" style="35"/>
    <col min="11009" max="11009" width="5.28515625" style="35" customWidth="1"/>
    <col min="11010" max="11010" width="57.85546875" style="35" customWidth="1"/>
    <col min="11011" max="11012" width="20.85546875" style="35" customWidth="1"/>
    <col min="11013" max="11013" width="18.42578125" style="35" customWidth="1"/>
    <col min="11014" max="11014" width="19" style="35" customWidth="1"/>
    <col min="11015" max="11027" width="20.85546875" style="35" customWidth="1"/>
    <col min="11028" max="11028" width="21.85546875" style="35" customWidth="1"/>
    <col min="11029" max="11264" width="9.140625" style="35"/>
    <col min="11265" max="11265" width="5.28515625" style="35" customWidth="1"/>
    <col min="11266" max="11266" width="57.85546875" style="35" customWidth="1"/>
    <col min="11267" max="11268" width="20.85546875" style="35" customWidth="1"/>
    <col min="11269" max="11269" width="18.42578125" style="35" customWidth="1"/>
    <col min="11270" max="11270" width="19" style="35" customWidth="1"/>
    <col min="11271" max="11283" width="20.85546875" style="35" customWidth="1"/>
    <col min="11284" max="11284" width="21.85546875" style="35" customWidth="1"/>
    <col min="11285" max="11520" width="9.140625" style="35"/>
    <col min="11521" max="11521" width="5.28515625" style="35" customWidth="1"/>
    <col min="11522" max="11522" width="57.85546875" style="35" customWidth="1"/>
    <col min="11523" max="11524" width="20.85546875" style="35" customWidth="1"/>
    <col min="11525" max="11525" width="18.42578125" style="35" customWidth="1"/>
    <col min="11526" max="11526" width="19" style="35" customWidth="1"/>
    <col min="11527" max="11539" width="20.85546875" style="35" customWidth="1"/>
    <col min="11540" max="11540" width="21.85546875" style="35" customWidth="1"/>
    <col min="11541" max="11776" width="9.140625" style="35"/>
    <col min="11777" max="11777" width="5.28515625" style="35" customWidth="1"/>
    <col min="11778" max="11778" width="57.85546875" style="35" customWidth="1"/>
    <col min="11779" max="11780" width="20.85546875" style="35" customWidth="1"/>
    <col min="11781" max="11781" width="18.42578125" style="35" customWidth="1"/>
    <col min="11782" max="11782" width="19" style="35" customWidth="1"/>
    <col min="11783" max="11795" width="20.85546875" style="35" customWidth="1"/>
    <col min="11796" max="11796" width="21.85546875" style="35" customWidth="1"/>
    <col min="11797" max="12032" width="9.140625" style="35"/>
    <col min="12033" max="12033" width="5.28515625" style="35" customWidth="1"/>
    <col min="12034" max="12034" width="57.85546875" style="35" customWidth="1"/>
    <col min="12035" max="12036" width="20.85546875" style="35" customWidth="1"/>
    <col min="12037" max="12037" width="18.42578125" style="35" customWidth="1"/>
    <col min="12038" max="12038" width="19" style="35" customWidth="1"/>
    <col min="12039" max="12051" width="20.85546875" style="35" customWidth="1"/>
    <col min="12052" max="12052" width="21.85546875" style="35" customWidth="1"/>
    <col min="12053" max="12288" width="9.140625" style="35"/>
    <col min="12289" max="12289" width="5.28515625" style="35" customWidth="1"/>
    <col min="12290" max="12290" width="57.85546875" style="35" customWidth="1"/>
    <col min="12291" max="12292" width="20.85546875" style="35" customWidth="1"/>
    <col min="12293" max="12293" width="18.42578125" style="35" customWidth="1"/>
    <col min="12294" max="12294" width="19" style="35" customWidth="1"/>
    <col min="12295" max="12307" width="20.85546875" style="35" customWidth="1"/>
    <col min="12308" max="12308" width="21.85546875" style="35" customWidth="1"/>
    <col min="12309" max="12544" width="9.140625" style="35"/>
    <col min="12545" max="12545" width="5.28515625" style="35" customWidth="1"/>
    <col min="12546" max="12546" width="57.85546875" style="35" customWidth="1"/>
    <col min="12547" max="12548" width="20.85546875" style="35" customWidth="1"/>
    <col min="12549" max="12549" width="18.42578125" style="35" customWidth="1"/>
    <col min="12550" max="12550" width="19" style="35" customWidth="1"/>
    <col min="12551" max="12563" width="20.85546875" style="35" customWidth="1"/>
    <col min="12564" max="12564" width="21.85546875" style="35" customWidth="1"/>
    <col min="12565" max="12800" width="9.140625" style="35"/>
    <col min="12801" max="12801" width="5.28515625" style="35" customWidth="1"/>
    <col min="12802" max="12802" width="57.85546875" style="35" customWidth="1"/>
    <col min="12803" max="12804" width="20.85546875" style="35" customWidth="1"/>
    <col min="12805" max="12805" width="18.42578125" style="35" customWidth="1"/>
    <col min="12806" max="12806" width="19" style="35" customWidth="1"/>
    <col min="12807" max="12819" width="20.85546875" style="35" customWidth="1"/>
    <col min="12820" max="12820" width="21.85546875" style="35" customWidth="1"/>
    <col min="12821" max="13056" width="9.140625" style="35"/>
    <col min="13057" max="13057" width="5.28515625" style="35" customWidth="1"/>
    <col min="13058" max="13058" width="57.85546875" style="35" customWidth="1"/>
    <col min="13059" max="13060" width="20.85546875" style="35" customWidth="1"/>
    <col min="13061" max="13061" width="18.42578125" style="35" customWidth="1"/>
    <col min="13062" max="13062" width="19" style="35" customWidth="1"/>
    <col min="13063" max="13075" width="20.85546875" style="35" customWidth="1"/>
    <col min="13076" max="13076" width="21.85546875" style="35" customWidth="1"/>
    <col min="13077" max="13312" width="9.140625" style="35"/>
    <col min="13313" max="13313" width="5.28515625" style="35" customWidth="1"/>
    <col min="13314" max="13314" width="57.85546875" style="35" customWidth="1"/>
    <col min="13315" max="13316" width="20.85546875" style="35" customWidth="1"/>
    <col min="13317" max="13317" width="18.42578125" style="35" customWidth="1"/>
    <col min="13318" max="13318" width="19" style="35" customWidth="1"/>
    <col min="13319" max="13331" width="20.85546875" style="35" customWidth="1"/>
    <col min="13332" max="13332" width="21.85546875" style="35" customWidth="1"/>
    <col min="13333" max="13568" width="9.140625" style="35"/>
    <col min="13569" max="13569" width="5.28515625" style="35" customWidth="1"/>
    <col min="13570" max="13570" width="57.85546875" style="35" customWidth="1"/>
    <col min="13571" max="13572" width="20.85546875" style="35" customWidth="1"/>
    <col min="13573" max="13573" width="18.42578125" style="35" customWidth="1"/>
    <col min="13574" max="13574" width="19" style="35" customWidth="1"/>
    <col min="13575" max="13587" width="20.85546875" style="35" customWidth="1"/>
    <col min="13588" max="13588" width="21.85546875" style="35" customWidth="1"/>
    <col min="13589" max="13824" width="9.140625" style="35"/>
    <col min="13825" max="13825" width="5.28515625" style="35" customWidth="1"/>
    <col min="13826" max="13826" width="57.85546875" style="35" customWidth="1"/>
    <col min="13827" max="13828" width="20.85546875" style="35" customWidth="1"/>
    <col min="13829" max="13829" width="18.42578125" style="35" customWidth="1"/>
    <col min="13830" max="13830" width="19" style="35" customWidth="1"/>
    <col min="13831" max="13843" width="20.85546875" style="35" customWidth="1"/>
    <col min="13844" max="13844" width="21.85546875" style="35" customWidth="1"/>
    <col min="13845" max="14080" width="9.140625" style="35"/>
    <col min="14081" max="14081" width="5.28515625" style="35" customWidth="1"/>
    <col min="14082" max="14082" width="57.85546875" style="35" customWidth="1"/>
    <col min="14083" max="14084" width="20.85546875" style="35" customWidth="1"/>
    <col min="14085" max="14085" width="18.42578125" style="35" customWidth="1"/>
    <col min="14086" max="14086" width="19" style="35" customWidth="1"/>
    <col min="14087" max="14099" width="20.85546875" style="35" customWidth="1"/>
    <col min="14100" max="14100" width="21.85546875" style="35" customWidth="1"/>
    <col min="14101" max="14336" width="9.140625" style="35"/>
    <col min="14337" max="14337" width="5.28515625" style="35" customWidth="1"/>
    <col min="14338" max="14338" width="57.85546875" style="35" customWidth="1"/>
    <col min="14339" max="14340" width="20.85546875" style="35" customWidth="1"/>
    <col min="14341" max="14341" width="18.42578125" style="35" customWidth="1"/>
    <col min="14342" max="14342" width="19" style="35" customWidth="1"/>
    <col min="14343" max="14355" width="20.85546875" style="35" customWidth="1"/>
    <col min="14356" max="14356" width="21.85546875" style="35" customWidth="1"/>
    <col min="14357" max="14592" width="9.140625" style="35"/>
    <col min="14593" max="14593" width="5.28515625" style="35" customWidth="1"/>
    <col min="14594" max="14594" width="57.85546875" style="35" customWidth="1"/>
    <col min="14595" max="14596" width="20.85546875" style="35" customWidth="1"/>
    <col min="14597" max="14597" width="18.42578125" style="35" customWidth="1"/>
    <col min="14598" max="14598" width="19" style="35" customWidth="1"/>
    <col min="14599" max="14611" width="20.85546875" style="35" customWidth="1"/>
    <col min="14612" max="14612" width="21.85546875" style="35" customWidth="1"/>
    <col min="14613" max="14848" width="9.140625" style="35"/>
    <col min="14849" max="14849" width="5.28515625" style="35" customWidth="1"/>
    <col min="14850" max="14850" width="57.85546875" style="35" customWidth="1"/>
    <col min="14851" max="14852" width="20.85546875" style="35" customWidth="1"/>
    <col min="14853" max="14853" width="18.42578125" style="35" customWidth="1"/>
    <col min="14854" max="14854" width="19" style="35" customWidth="1"/>
    <col min="14855" max="14867" width="20.85546875" style="35" customWidth="1"/>
    <col min="14868" max="14868" width="21.85546875" style="35" customWidth="1"/>
    <col min="14869" max="15104" width="9.140625" style="35"/>
    <col min="15105" max="15105" width="5.28515625" style="35" customWidth="1"/>
    <col min="15106" max="15106" width="57.85546875" style="35" customWidth="1"/>
    <col min="15107" max="15108" width="20.85546875" style="35" customWidth="1"/>
    <col min="15109" max="15109" width="18.42578125" style="35" customWidth="1"/>
    <col min="15110" max="15110" width="19" style="35" customWidth="1"/>
    <col min="15111" max="15123" width="20.85546875" style="35" customWidth="1"/>
    <col min="15124" max="15124" width="21.85546875" style="35" customWidth="1"/>
    <col min="15125" max="15360" width="9.140625" style="35"/>
    <col min="15361" max="15361" width="5.28515625" style="35" customWidth="1"/>
    <col min="15362" max="15362" width="57.85546875" style="35" customWidth="1"/>
    <col min="15363" max="15364" width="20.85546875" style="35" customWidth="1"/>
    <col min="15365" max="15365" width="18.42578125" style="35" customWidth="1"/>
    <col min="15366" max="15366" width="19" style="35" customWidth="1"/>
    <col min="15367" max="15379" width="20.85546875" style="35" customWidth="1"/>
    <col min="15380" max="15380" width="21.85546875" style="35" customWidth="1"/>
    <col min="15381" max="15616" width="9.140625" style="35"/>
    <col min="15617" max="15617" width="5.28515625" style="35" customWidth="1"/>
    <col min="15618" max="15618" width="57.85546875" style="35" customWidth="1"/>
    <col min="15619" max="15620" width="20.85546875" style="35" customWidth="1"/>
    <col min="15621" max="15621" width="18.42578125" style="35" customWidth="1"/>
    <col min="15622" max="15622" width="19" style="35" customWidth="1"/>
    <col min="15623" max="15635" width="20.85546875" style="35" customWidth="1"/>
    <col min="15636" max="15636" width="21.85546875" style="35" customWidth="1"/>
    <col min="15637" max="15872" width="9.140625" style="35"/>
    <col min="15873" max="15873" width="5.28515625" style="35" customWidth="1"/>
    <col min="15874" max="15874" width="57.85546875" style="35" customWidth="1"/>
    <col min="15875" max="15876" width="20.85546875" style="35" customWidth="1"/>
    <col min="15877" max="15877" width="18.42578125" style="35" customWidth="1"/>
    <col min="15878" max="15878" width="19" style="35" customWidth="1"/>
    <col min="15879" max="15891" width="20.85546875" style="35" customWidth="1"/>
    <col min="15892" max="15892" width="21.85546875" style="35" customWidth="1"/>
    <col min="15893" max="16128" width="9.140625" style="35"/>
    <col min="16129" max="16129" width="5.28515625" style="35" customWidth="1"/>
    <col min="16130" max="16130" width="57.85546875" style="35" customWidth="1"/>
    <col min="16131" max="16132" width="20.85546875" style="35" customWidth="1"/>
    <col min="16133" max="16133" width="18.42578125" style="35" customWidth="1"/>
    <col min="16134" max="16134" width="19" style="35" customWidth="1"/>
    <col min="16135" max="16147" width="20.85546875" style="35" customWidth="1"/>
    <col min="16148" max="16148" width="21.85546875" style="35" customWidth="1"/>
    <col min="16149" max="16384" width="9.140625" style="35"/>
  </cols>
  <sheetData>
    <row r="1" spans="1:20">
      <c r="A1" s="1276" t="s">
        <v>952</v>
      </c>
      <c r="B1" s="1276"/>
      <c r="C1" s="1276"/>
      <c r="D1" s="1276"/>
      <c r="E1" s="1276"/>
      <c r="F1" s="1276"/>
      <c r="G1" s="1276"/>
      <c r="H1" s="1276"/>
      <c r="I1" s="1276"/>
      <c r="J1" s="1276"/>
      <c r="K1" s="1276"/>
      <c r="L1" s="1276"/>
      <c r="M1" s="1276"/>
      <c r="N1" s="1276"/>
      <c r="O1" s="1276"/>
      <c r="P1" s="1276"/>
      <c r="Q1" s="1276"/>
      <c r="R1" s="1276"/>
      <c r="S1" s="1276"/>
      <c r="T1" s="1276"/>
    </row>
    <row r="2" spans="1:20">
      <c r="A2" s="1276" t="s">
        <v>953</v>
      </c>
      <c r="B2" s="1276"/>
      <c r="C2" s="1276"/>
      <c r="D2" s="1276"/>
      <c r="E2" s="1276"/>
      <c r="F2" s="1276"/>
      <c r="G2" s="1276"/>
      <c r="H2" s="1276"/>
      <c r="I2" s="1276"/>
      <c r="J2" s="1276"/>
      <c r="K2" s="1276"/>
      <c r="L2" s="1276"/>
      <c r="M2" s="1276"/>
      <c r="N2" s="1276"/>
      <c r="O2" s="1276"/>
      <c r="P2" s="1276"/>
      <c r="Q2" s="1276"/>
      <c r="R2" s="1276"/>
      <c r="S2" s="1276"/>
      <c r="T2" s="1276"/>
    </row>
    <row r="3" spans="1:20">
      <c r="A3" s="1276" t="s">
        <v>954</v>
      </c>
      <c r="B3" s="1276"/>
      <c r="C3" s="1276"/>
      <c r="D3" s="1276"/>
      <c r="E3" s="1276"/>
      <c r="F3" s="1276"/>
      <c r="G3" s="1276"/>
      <c r="H3" s="1276"/>
      <c r="I3" s="1276"/>
      <c r="J3" s="1276"/>
      <c r="K3" s="1276"/>
      <c r="L3" s="1276"/>
      <c r="M3" s="1276"/>
      <c r="N3" s="1276"/>
      <c r="O3" s="1276"/>
      <c r="P3" s="1276"/>
      <c r="Q3" s="1276"/>
      <c r="R3" s="1276"/>
      <c r="S3" s="1276"/>
      <c r="T3" s="1276"/>
    </row>
    <row r="4" spans="1:20">
      <c r="A4" s="138"/>
      <c r="B4" s="138"/>
      <c r="C4" s="138"/>
      <c r="D4" s="138"/>
      <c r="E4" s="138"/>
      <c r="F4" s="138"/>
      <c r="G4" s="138"/>
      <c r="H4" s="138"/>
      <c r="I4" s="138"/>
      <c r="J4" s="138"/>
      <c r="K4" s="138"/>
      <c r="L4" s="138"/>
      <c r="M4" s="138"/>
      <c r="N4" s="138"/>
      <c r="O4" s="138"/>
      <c r="P4" s="138"/>
      <c r="Q4" s="138"/>
      <c r="R4" s="138"/>
      <c r="S4" s="138"/>
      <c r="T4" s="138"/>
    </row>
    <row r="5" spans="1:20">
      <c r="A5" s="140" t="s">
        <v>424</v>
      </c>
      <c r="B5" s="141" t="s">
        <v>955</v>
      </c>
      <c r="C5" s="1277" t="s">
        <v>956</v>
      </c>
      <c r="D5" s="1277"/>
      <c r="E5" s="142" t="s">
        <v>957</v>
      </c>
      <c r="F5" s="142" t="s">
        <v>958</v>
      </c>
      <c r="G5" s="142" t="s">
        <v>448</v>
      </c>
      <c r="H5" s="142" t="s">
        <v>493</v>
      </c>
      <c r="I5" s="142" t="s">
        <v>450</v>
      </c>
      <c r="J5" s="142" t="s">
        <v>451</v>
      </c>
      <c r="K5" s="142" t="s">
        <v>452</v>
      </c>
      <c r="L5" s="142" t="s">
        <v>494</v>
      </c>
      <c r="M5" s="142" t="s">
        <v>959</v>
      </c>
      <c r="N5" s="142" t="s">
        <v>960</v>
      </c>
      <c r="O5" s="142" t="s">
        <v>961</v>
      </c>
      <c r="P5" s="142" t="s">
        <v>962</v>
      </c>
      <c r="Q5" s="1278" t="s">
        <v>963</v>
      </c>
      <c r="R5" s="1278"/>
      <c r="S5" s="1278"/>
      <c r="T5" s="1278"/>
    </row>
    <row r="6" spans="1:20" ht="88.5" customHeight="1">
      <c r="A6" s="140"/>
      <c r="B6" s="141"/>
      <c r="C6" s="144" t="s">
        <v>964</v>
      </c>
      <c r="D6" s="144" t="s">
        <v>965</v>
      </c>
      <c r="E6" s="145" t="s">
        <v>966</v>
      </c>
      <c r="F6" s="145" t="s">
        <v>966</v>
      </c>
      <c r="G6" s="145" t="s">
        <v>966</v>
      </c>
      <c r="H6" s="145" t="s">
        <v>966</v>
      </c>
      <c r="I6" s="145" t="s">
        <v>966</v>
      </c>
      <c r="J6" s="145" t="s">
        <v>966</v>
      </c>
      <c r="K6" s="145" t="s">
        <v>966</v>
      </c>
      <c r="L6" s="145" t="s">
        <v>966</v>
      </c>
      <c r="M6" s="145" t="s">
        <v>966</v>
      </c>
      <c r="N6" s="145" t="s">
        <v>966</v>
      </c>
      <c r="O6" s="145" t="s">
        <v>966</v>
      </c>
      <c r="P6" s="145" t="s">
        <v>966</v>
      </c>
      <c r="Q6" s="146" t="s">
        <v>967</v>
      </c>
      <c r="R6" s="145" t="s">
        <v>968</v>
      </c>
      <c r="S6" s="143" t="s">
        <v>969</v>
      </c>
      <c r="T6" s="147" t="s">
        <v>970</v>
      </c>
    </row>
    <row r="7" spans="1:20" ht="15">
      <c r="A7" s="148"/>
      <c r="B7" s="141"/>
      <c r="C7" s="149" t="s">
        <v>971</v>
      </c>
      <c r="D7" s="149" t="s">
        <v>971</v>
      </c>
      <c r="E7" s="150" t="s">
        <v>971</v>
      </c>
      <c r="F7" s="150" t="s">
        <v>971</v>
      </c>
      <c r="G7" s="150" t="s">
        <v>971</v>
      </c>
      <c r="H7" s="150" t="s">
        <v>971</v>
      </c>
      <c r="I7" s="150" t="s">
        <v>971</v>
      </c>
      <c r="J7" s="150" t="s">
        <v>971</v>
      </c>
      <c r="K7" s="150" t="s">
        <v>971</v>
      </c>
      <c r="L7" s="150" t="s">
        <v>971</v>
      </c>
      <c r="M7" s="150" t="s">
        <v>971</v>
      </c>
      <c r="N7" s="150" t="s">
        <v>971</v>
      </c>
      <c r="O7" s="150" t="s">
        <v>971</v>
      </c>
      <c r="P7" s="150" t="s">
        <v>971</v>
      </c>
      <c r="Q7" s="150" t="s">
        <v>971</v>
      </c>
      <c r="R7" s="150" t="s">
        <v>971</v>
      </c>
      <c r="S7" s="150" t="s">
        <v>971</v>
      </c>
      <c r="T7" s="150" t="s">
        <v>972</v>
      </c>
    </row>
    <row r="8" spans="1:20" ht="45">
      <c r="A8" s="148"/>
      <c r="B8" s="151" t="s">
        <v>973</v>
      </c>
      <c r="C8" s="151" t="s">
        <v>974</v>
      </c>
      <c r="D8" s="151" t="s">
        <v>975</v>
      </c>
      <c r="E8" s="151" t="s">
        <v>976</v>
      </c>
      <c r="F8" s="151" t="s">
        <v>977</v>
      </c>
      <c r="G8" s="151" t="s">
        <v>978</v>
      </c>
      <c r="H8" s="151" t="s">
        <v>979</v>
      </c>
      <c r="I8" s="151" t="s">
        <v>980</v>
      </c>
      <c r="J8" s="151" t="s">
        <v>981</v>
      </c>
      <c r="K8" s="151" t="s">
        <v>383</v>
      </c>
      <c r="L8" s="151" t="s">
        <v>982</v>
      </c>
      <c r="M8" s="151" t="s">
        <v>983</v>
      </c>
      <c r="N8" s="151" t="s">
        <v>984</v>
      </c>
      <c r="O8" s="151" t="s">
        <v>985</v>
      </c>
      <c r="P8" s="151" t="s">
        <v>986</v>
      </c>
      <c r="Q8" s="151" t="s">
        <v>987</v>
      </c>
      <c r="R8" s="151" t="s">
        <v>988</v>
      </c>
      <c r="S8" s="151" t="s">
        <v>989</v>
      </c>
      <c r="T8" s="151" t="s">
        <v>990</v>
      </c>
    </row>
    <row r="9" spans="1:20">
      <c r="A9" s="152">
        <v>1</v>
      </c>
      <c r="B9" s="153" t="s">
        <v>991</v>
      </c>
      <c r="C9" s="165"/>
      <c r="D9" s="166"/>
      <c r="E9" s="166"/>
      <c r="F9" s="166"/>
      <c r="G9" s="166"/>
      <c r="H9" s="166"/>
      <c r="I9" s="166"/>
      <c r="J9" s="166"/>
      <c r="K9" s="166"/>
      <c r="L9" s="166"/>
      <c r="M9" s="166"/>
      <c r="N9" s="166"/>
      <c r="O9" s="166"/>
      <c r="P9" s="166"/>
      <c r="Q9" s="166"/>
      <c r="R9" s="166"/>
      <c r="S9" s="166"/>
      <c r="T9" s="155"/>
    </row>
    <row r="10" spans="1:20">
      <c r="A10" s="152">
        <v>2</v>
      </c>
      <c r="B10" s="153" t="s">
        <v>992</v>
      </c>
      <c r="C10" s="165">
        <v>29428.473000000002</v>
      </c>
      <c r="D10" s="165">
        <f>C10/12</f>
        <v>2452.37275</v>
      </c>
      <c r="E10" s="166">
        <v>322.19799999999998</v>
      </c>
      <c r="F10" s="166">
        <f>182.715</f>
        <v>182.715</v>
      </c>
      <c r="G10" s="166">
        <f>377.189</f>
        <v>377.18900000000002</v>
      </c>
      <c r="H10" s="166">
        <v>407.50200000000001</v>
      </c>
      <c r="I10" s="166">
        <v>542.25099999999998</v>
      </c>
      <c r="J10" s="166">
        <v>362.96300000000002</v>
      </c>
      <c r="K10" s="166">
        <v>399.45100000000002</v>
      </c>
      <c r="L10" s="166">
        <v>235.232</v>
      </c>
      <c r="M10" s="166">
        <v>644.50199999999995</v>
      </c>
      <c r="N10" s="166">
        <v>302.51299999999998</v>
      </c>
      <c r="O10" s="166">
        <v>315.64600000000002</v>
      </c>
      <c r="P10" s="166">
        <v>407.577</v>
      </c>
      <c r="Q10" s="167">
        <f>D10*12</f>
        <v>29428.472999999998</v>
      </c>
      <c r="R10" s="167">
        <f>E10+F10+G10+H10+I10+J10+K10+L10+M10+N10+O10+P10</f>
        <v>4499.7390000000005</v>
      </c>
      <c r="S10" s="167">
        <f>R10-Q10</f>
        <v>-24928.733999999997</v>
      </c>
      <c r="T10" s="157">
        <f>R10/Q10*100%</f>
        <v>0.15290426383998929</v>
      </c>
    </row>
    <row r="11" spans="1:20">
      <c r="A11" s="152">
        <v>3</v>
      </c>
      <c r="B11" s="153" t="s">
        <v>993</v>
      </c>
      <c r="C11" s="165">
        <v>4457.2820000000002</v>
      </c>
      <c r="D11" s="166">
        <f>C11/12</f>
        <v>371.4401666666667</v>
      </c>
      <c r="E11" s="166">
        <v>63.87</v>
      </c>
      <c r="F11" s="166">
        <f>64.376</f>
        <v>64.376000000000005</v>
      </c>
      <c r="G11" s="166">
        <v>58.076000000000001</v>
      </c>
      <c r="H11" s="166">
        <f>23.612+58.373</f>
        <v>81.984999999999999</v>
      </c>
      <c r="I11" s="166">
        <v>48.771999999999998</v>
      </c>
      <c r="J11" s="166">
        <v>51.731999999999999</v>
      </c>
      <c r="K11" s="166">
        <v>0</v>
      </c>
      <c r="L11" s="166">
        <f>27.517+21.61</f>
        <v>49.126999999999995</v>
      </c>
      <c r="M11" s="166">
        <f>105.25+6.275</f>
        <v>111.52500000000001</v>
      </c>
      <c r="N11" s="166">
        <v>110.151</v>
      </c>
      <c r="O11" s="166">
        <v>14.728</v>
      </c>
      <c r="P11" s="166">
        <v>44.927999999999997</v>
      </c>
      <c r="Q11" s="167">
        <f>D11*12</f>
        <v>4457.2820000000002</v>
      </c>
      <c r="R11" s="167">
        <f>E11+F11+G11+H11+I11+J11+K11+L11+M11+N11+O11+P11</f>
        <v>699.27</v>
      </c>
      <c r="S11" s="167">
        <f>R11-Q11</f>
        <v>-3758.0120000000002</v>
      </c>
      <c r="T11" s="157">
        <f>R11/Q11*100%</f>
        <v>0.15688260244696206</v>
      </c>
    </row>
    <row r="12" spans="1:20">
      <c r="A12" s="152">
        <v>4</v>
      </c>
      <c r="B12" s="153" t="s">
        <v>994</v>
      </c>
      <c r="C12" s="165">
        <v>14941.27</v>
      </c>
      <c r="D12" s="166">
        <f>C12/12</f>
        <v>1245.1058333333333</v>
      </c>
      <c r="E12" s="166">
        <v>574.10299999999995</v>
      </c>
      <c r="F12" s="166">
        <f>566.13</f>
        <v>566.13</v>
      </c>
      <c r="G12" s="166">
        <f>649.046</f>
        <v>649.04600000000005</v>
      </c>
      <c r="H12" s="166">
        <v>618.27599999999995</v>
      </c>
      <c r="I12" s="166">
        <v>653.79100000000005</v>
      </c>
      <c r="J12" s="166">
        <v>615.12800000000004</v>
      </c>
      <c r="K12" s="166">
        <v>630.96500000000003</v>
      </c>
      <c r="L12" s="166">
        <v>723.16800000000001</v>
      </c>
      <c r="M12" s="166">
        <v>745.20399999999995</v>
      </c>
      <c r="N12" s="166">
        <v>741.98699999999997</v>
      </c>
      <c r="O12" s="166">
        <v>873.10500000000002</v>
      </c>
      <c r="P12" s="166">
        <v>660.04100000000005</v>
      </c>
      <c r="Q12" s="167">
        <f>D12*12</f>
        <v>14941.27</v>
      </c>
      <c r="R12" s="167">
        <f>E12+F12+G12+H12+I12+J12+K12+L12+M12+N12+O12+P12</f>
        <v>8050.9440000000004</v>
      </c>
      <c r="S12" s="167">
        <f>R12-Q12</f>
        <v>-6890.326</v>
      </c>
      <c r="T12" s="157">
        <f>R12/Q12*100%</f>
        <v>0.53883933561203301</v>
      </c>
    </row>
    <row r="13" spans="1:20">
      <c r="A13" s="152">
        <v>5</v>
      </c>
      <c r="B13" s="153" t="s">
        <v>995</v>
      </c>
      <c r="C13" s="165">
        <v>1507.356</v>
      </c>
      <c r="D13" s="166">
        <f>C13/12</f>
        <v>125.613</v>
      </c>
      <c r="E13" s="166">
        <v>0</v>
      </c>
      <c r="F13" s="166">
        <v>0</v>
      </c>
      <c r="G13" s="166">
        <v>0</v>
      </c>
      <c r="H13" s="166">
        <v>0</v>
      </c>
      <c r="I13" s="169">
        <v>0</v>
      </c>
      <c r="J13" s="169">
        <v>0</v>
      </c>
      <c r="K13" s="169">
        <v>0</v>
      </c>
      <c r="L13" s="169">
        <v>0</v>
      </c>
      <c r="M13" s="169">
        <v>0</v>
      </c>
      <c r="N13" s="169">
        <v>0</v>
      </c>
      <c r="O13" s="169">
        <v>0</v>
      </c>
      <c r="P13" s="169">
        <v>0</v>
      </c>
      <c r="Q13" s="167">
        <f>D13*12</f>
        <v>1507.356</v>
      </c>
      <c r="R13" s="167">
        <f>E13+F13+G13+H13+I13+J13+K13+L13+M13+N13+O13+P13</f>
        <v>0</v>
      </c>
      <c r="S13" s="167">
        <f>R13-Q13</f>
        <v>-1507.356</v>
      </c>
      <c r="T13" s="157">
        <f>R13/Q13*100%</f>
        <v>0</v>
      </c>
    </row>
    <row r="14" spans="1:20">
      <c r="A14" s="152">
        <v>6</v>
      </c>
      <c r="B14" s="153" t="s">
        <v>996</v>
      </c>
      <c r="C14" s="168">
        <f>SUM(C10:C13)</f>
        <v>50334.381000000008</v>
      </c>
      <c r="D14" s="168">
        <f t="shared" ref="D14:S14" si="0">SUM(D10:D13)</f>
        <v>4194.5317500000001</v>
      </c>
      <c r="E14" s="168">
        <f t="shared" si="0"/>
        <v>960.17099999999994</v>
      </c>
      <c r="F14" s="168">
        <f t="shared" si="0"/>
        <v>813.221</v>
      </c>
      <c r="G14" s="168">
        <f t="shared" si="0"/>
        <v>1084.3110000000001</v>
      </c>
      <c r="H14" s="168">
        <f t="shared" si="0"/>
        <v>1107.7629999999999</v>
      </c>
      <c r="I14" s="168">
        <f t="shared" si="0"/>
        <v>1244.8140000000001</v>
      </c>
      <c r="J14" s="168">
        <f t="shared" si="0"/>
        <v>1029.8230000000001</v>
      </c>
      <c r="K14" s="168">
        <f t="shared" si="0"/>
        <v>1030.4160000000002</v>
      </c>
      <c r="L14" s="168">
        <f t="shared" si="0"/>
        <v>1007.527</v>
      </c>
      <c r="M14" s="168">
        <f t="shared" si="0"/>
        <v>1501.2309999999998</v>
      </c>
      <c r="N14" s="168">
        <f t="shared" si="0"/>
        <v>1154.6509999999998</v>
      </c>
      <c r="O14" s="168">
        <f t="shared" si="0"/>
        <v>1203.479</v>
      </c>
      <c r="P14" s="168">
        <f t="shared" si="0"/>
        <v>1112.546</v>
      </c>
      <c r="Q14" s="168">
        <f t="shared" si="0"/>
        <v>50334.380999999994</v>
      </c>
      <c r="R14" s="168">
        <f t="shared" si="0"/>
        <v>13249.953000000001</v>
      </c>
      <c r="S14" s="168">
        <f t="shared" si="0"/>
        <v>-37084.427999999993</v>
      </c>
      <c r="T14" s="157">
        <f>R14/Q14*100%</f>
        <v>0.26323862013918486</v>
      </c>
    </row>
    <row r="15" spans="1:20">
      <c r="A15" s="152">
        <v>7</v>
      </c>
      <c r="B15" s="153"/>
      <c r="C15" s="165"/>
      <c r="D15" s="165"/>
      <c r="E15" s="166"/>
      <c r="F15" s="166"/>
      <c r="G15" s="166"/>
      <c r="H15" s="166"/>
      <c r="I15" s="166"/>
      <c r="J15" s="166"/>
      <c r="K15" s="166"/>
      <c r="L15" s="166"/>
      <c r="M15" s="166"/>
      <c r="N15" s="166"/>
      <c r="O15" s="166"/>
      <c r="P15" s="166"/>
      <c r="Q15" s="167"/>
      <c r="R15" s="167"/>
      <c r="S15" s="167"/>
      <c r="T15" s="157"/>
    </row>
    <row r="16" spans="1:20">
      <c r="A16" s="152">
        <v>8</v>
      </c>
      <c r="B16" s="153" t="s">
        <v>997</v>
      </c>
      <c r="C16" s="165"/>
      <c r="D16" s="165"/>
      <c r="E16" s="166"/>
      <c r="F16" s="166"/>
      <c r="G16" s="166"/>
      <c r="H16" s="166"/>
      <c r="I16" s="166"/>
      <c r="J16" s="166"/>
      <c r="K16" s="166"/>
      <c r="L16" s="166"/>
      <c r="M16" s="166"/>
      <c r="N16" s="166"/>
      <c r="O16" s="166"/>
      <c r="P16" s="166"/>
      <c r="Q16" s="167"/>
      <c r="R16" s="167"/>
      <c r="S16" s="167"/>
      <c r="T16" s="157"/>
    </row>
    <row r="17" spans="1:20">
      <c r="A17" s="152">
        <v>9</v>
      </c>
      <c r="B17" s="153" t="s">
        <v>998</v>
      </c>
      <c r="C17" s="165">
        <v>9206.01</v>
      </c>
      <c r="D17" s="166">
        <f>C17/12</f>
        <v>767.16750000000002</v>
      </c>
      <c r="E17" s="166">
        <v>409.00299999999999</v>
      </c>
      <c r="F17" s="166">
        <v>634.65200000000004</v>
      </c>
      <c r="G17" s="166">
        <v>241.43700000000001</v>
      </c>
      <c r="H17" s="166">
        <v>356.495</v>
      </c>
      <c r="I17" s="166">
        <v>563.07899999999995</v>
      </c>
      <c r="J17" s="166">
        <v>781.96299999999997</v>
      </c>
      <c r="K17" s="166">
        <v>2178.3789999999999</v>
      </c>
      <c r="L17" s="166">
        <v>1749.106</v>
      </c>
      <c r="M17" s="166">
        <v>1056.2650000000001</v>
      </c>
      <c r="N17" s="166">
        <v>624.32100000000003</v>
      </c>
      <c r="O17" s="166">
        <v>591.15200000000004</v>
      </c>
      <c r="P17" s="166">
        <v>337.22300000000001</v>
      </c>
      <c r="Q17" s="167">
        <f>D17*12</f>
        <v>9206.01</v>
      </c>
      <c r="R17" s="167">
        <f>E17+F17+G17+H17+I17+J17+K17+L17+M17+N17+O17+P17</f>
        <v>9523.0750000000007</v>
      </c>
      <c r="S17" s="167">
        <f>R17-Q17</f>
        <v>317.06500000000051</v>
      </c>
      <c r="T17" s="157">
        <f>R17/Q17*100%</f>
        <v>1.0344410879414643</v>
      </c>
    </row>
    <row r="18" spans="1:20">
      <c r="A18" s="152">
        <v>10</v>
      </c>
      <c r="B18" s="153" t="s">
        <v>999</v>
      </c>
      <c r="C18" s="165">
        <v>7501.6009999999997</v>
      </c>
      <c r="D18" s="166">
        <f>C18/12</f>
        <v>625.13341666666668</v>
      </c>
      <c r="E18" s="166">
        <v>649.56100000000004</v>
      </c>
      <c r="F18" s="166">
        <v>771.88599999999997</v>
      </c>
      <c r="G18" s="166">
        <v>654.45600000000002</v>
      </c>
      <c r="H18" s="166">
        <v>637.61800000000005</v>
      </c>
      <c r="I18" s="166">
        <v>642.26499999999999</v>
      </c>
      <c r="J18" s="166">
        <v>742.82</v>
      </c>
      <c r="K18" s="166">
        <v>678.16499999999996</v>
      </c>
      <c r="L18" s="166">
        <v>687.94</v>
      </c>
      <c r="M18" s="166">
        <v>722.61900000000003</v>
      </c>
      <c r="N18" s="166">
        <v>872.63</v>
      </c>
      <c r="O18" s="166">
        <v>719.827</v>
      </c>
      <c r="P18" s="166">
        <v>563.04200000000003</v>
      </c>
      <c r="Q18" s="167">
        <f>D18*12</f>
        <v>7501.6010000000006</v>
      </c>
      <c r="R18" s="167">
        <f>E18+F18+G18+H18+I18+J18+K18+L18+M18+N18+O18+P18</f>
        <v>8342.8289999999997</v>
      </c>
      <c r="S18" s="167">
        <f>R18-Q18</f>
        <v>841.22799999999916</v>
      </c>
      <c r="T18" s="157">
        <f>R18/Q18*100%</f>
        <v>1.1121397952250458</v>
      </c>
    </row>
    <row r="19" spans="1:20">
      <c r="A19" s="152">
        <v>11</v>
      </c>
      <c r="B19" s="153" t="s">
        <v>1000</v>
      </c>
      <c r="C19" s="165">
        <v>230</v>
      </c>
      <c r="D19" s="166">
        <f>C19/12</f>
        <v>19.166666666666668</v>
      </c>
      <c r="E19" s="166">
        <v>32.511000000000003</v>
      </c>
      <c r="F19" s="166">
        <v>21.404</v>
      </c>
      <c r="G19" s="166">
        <v>36.636000000000003</v>
      </c>
      <c r="H19" s="166">
        <v>26.010999999999999</v>
      </c>
      <c r="I19" s="166">
        <v>40.481000000000002</v>
      </c>
      <c r="J19" s="166">
        <v>28.818999999999999</v>
      </c>
      <c r="K19" s="166">
        <v>30.379000000000001</v>
      </c>
      <c r="L19" s="166">
        <v>39.167999999999999</v>
      </c>
      <c r="M19" s="166">
        <v>33.685000000000002</v>
      </c>
      <c r="N19" s="166">
        <v>53.838000000000001</v>
      </c>
      <c r="O19" s="166">
        <v>49.865000000000002</v>
      </c>
      <c r="P19" s="166">
        <v>43.4</v>
      </c>
      <c r="Q19" s="167">
        <f>D19*12</f>
        <v>230</v>
      </c>
      <c r="R19" s="167">
        <f>E19+F19+G19+H19+I19+J19+K19+L19+M19+N19+O19+P19</f>
        <v>436.197</v>
      </c>
      <c r="S19" s="167">
        <f>R19-Q19</f>
        <v>206.197</v>
      </c>
      <c r="T19" s="157">
        <f>R19/Q19*100%</f>
        <v>1.8965086956521739</v>
      </c>
    </row>
    <row r="20" spans="1:20">
      <c r="A20" s="152">
        <v>12</v>
      </c>
      <c r="B20" s="153" t="s">
        <v>1001</v>
      </c>
      <c r="C20" s="165">
        <v>7155.7669999999998</v>
      </c>
      <c r="D20" s="166">
        <f>C20/12</f>
        <v>596.31391666666661</v>
      </c>
      <c r="E20" s="166">
        <v>259.63099999999997</v>
      </c>
      <c r="F20" s="166">
        <v>400.34100000000001</v>
      </c>
      <c r="G20" s="166">
        <v>299.58300000000003</v>
      </c>
      <c r="H20" s="166">
        <v>283.42500000000001</v>
      </c>
      <c r="I20" s="166">
        <v>358.08100000000002</v>
      </c>
      <c r="J20" s="166">
        <v>359.42</v>
      </c>
      <c r="K20" s="166">
        <v>315.29000000000002</v>
      </c>
      <c r="L20" s="166">
        <v>353.24</v>
      </c>
      <c r="M20" s="166">
        <v>322.00200000000001</v>
      </c>
      <c r="N20" s="166">
        <v>349.10700000000003</v>
      </c>
      <c r="O20" s="166">
        <v>370.28100000000001</v>
      </c>
      <c r="P20" s="166">
        <v>287.17500000000001</v>
      </c>
      <c r="Q20" s="167">
        <f>D20*12</f>
        <v>7155.7669999999998</v>
      </c>
      <c r="R20" s="167">
        <f>E20+F20+G20+H20+I20+J20+K20+L20+M20+N20+O20+P20</f>
        <v>3957.5760000000005</v>
      </c>
      <c r="S20" s="167">
        <f>R20-Q20</f>
        <v>-3198.1909999999993</v>
      </c>
      <c r="T20" s="157">
        <f>R20/Q20*100%</f>
        <v>0.55306104852212212</v>
      </c>
    </row>
    <row r="21" spans="1:20">
      <c r="A21" s="152">
        <v>13</v>
      </c>
      <c r="B21" s="153" t="s">
        <v>1002</v>
      </c>
      <c r="C21" s="168">
        <f>SUM(C17:C20)</f>
        <v>24093.378000000001</v>
      </c>
      <c r="D21" s="168">
        <f t="shared" ref="D21:S21" si="1">SUM(D17:D20)</f>
        <v>2007.7815000000001</v>
      </c>
      <c r="E21" s="168">
        <f t="shared" si="1"/>
        <v>1350.7060000000001</v>
      </c>
      <c r="F21" s="168">
        <f t="shared" si="1"/>
        <v>1828.2829999999999</v>
      </c>
      <c r="G21" s="168">
        <f t="shared" si="1"/>
        <v>1232.1120000000001</v>
      </c>
      <c r="H21" s="168">
        <f t="shared" si="1"/>
        <v>1303.549</v>
      </c>
      <c r="I21" s="168">
        <f t="shared" si="1"/>
        <v>1603.9059999999999</v>
      </c>
      <c r="J21" s="168">
        <f t="shared" si="1"/>
        <v>1913.0219999999999</v>
      </c>
      <c r="K21" s="168">
        <f t="shared" si="1"/>
        <v>3202.2129999999997</v>
      </c>
      <c r="L21" s="168">
        <f t="shared" si="1"/>
        <v>2829.4540000000006</v>
      </c>
      <c r="M21" s="168">
        <f t="shared" si="1"/>
        <v>2134.5709999999999</v>
      </c>
      <c r="N21" s="168">
        <f t="shared" si="1"/>
        <v>1899.896</v>
      </c>
      <c r="O21" s="168">
        <f t="shared" si="1"/>
        <v>1731.125</v>
      </c>
      <c r="P21" s="168">
        <f t="shared" si="1"/>
        <v>1230.8400000000001</v>
      </c>
      <c r="Q21" s="168">
        <f t="shared" si="1"/>
        <v>24093.378000000001</v>
      </c>
      <c r="R21" s="168">
        <f t="shared" si="1"/>
        <v>22259.677000000003</v>
      </c>
      <c r="S21" s="168">
        <f t="shared" si="1"/>
        <v>-1833.7009999999996</v>
      </c>
      <c r="T21" s="157">
        <f>R21/Q21*100%</f>
        <v>0.92389190922086573</v>
      </c>
    </row>
    <row r="22" spans="1:20">
      <c r="A22" s="152">
        <v>14</v>
      </c>
      <c r="B22" s="153"/>
      <c r="C22" s="168"/>
      <c r="D22" s="169"/>
      <c r="E22" s="169"/>
      <c r="F22" s="169"/>
      <c r="G22" s="169"/>
      <c r="H22" s="169"/>
      <c r="I22" s="169"/>
      <c r="J22" s="169"/>
      <c r="K22" s="169"/>
      <c r="L22" s="169"/>
      <c r="M22" s="169"/>
      <c r="N22" s="169"/>
      <c r="O22" s="169"/>
      <c r="P22" s="169"/>
      <c r="Q22" s="167"/>
      <c r="R22" s="167"/>
      <c r="S22" s="167"/>
      <c r="T22" s="157"/>
    </row>
    <row r="23" spans="1:20" ht="15">
      <c r="A23" s="152">
        <v>15</v>
      </c>
      <c r="B23" s="161" t="s">
        <v>25</v>
      </c>
      <c r="C23" s="168">
        <f t="shared" ref="C23:S23" si="2">C14+C21</f>
        <v>74427.759000000005</v>
      </c>
      <c r="D23" s="168">
        <f t="shared" si="2"/>
        <v>6202.3132500000002</v>
      </c>
      <c r="E23" s="168">
        <f t="shared" si="2"/>
        <v>2310.877</v>
      </c>
      <c r="F23" s="168">
        <f t="shared" si="2"/>
        <v>2641.5039999999999</v>
      </c>
      <c r="G23" s="168">
        <f t="shared" si="2"/>
        <v>2316.4230000000002</v>
      </c>
      <c r="H23" s="168">
        <f t="shared" si="2"/>
        <v>2411.3119999999999</v>
      </c>
      <c r="I23" s="168">
        <f t="shared" si="2"/>
        <v>2848.7200000000003</v>
      </c>
      <c r="J23" s="168">
        <f t="shared" si="2"/>
        <v>2942.8450000000003</v>
      </c>
      <c r="K23" s="168">
        <f t="shared" si="2"/>
        <v>4232.6289999999999</v>
      </c>
      <c r="L23" s="168">
        <f t="shared" si="2"/>
        <v>3836.9810000000007</v>
      </c>
      <c r="M23" s="168">
        <f t="shared" si="2"/>
        <v>3635.8019999999997</v>
      </c>
      <c r="N23" s="168">
        <f t="shared" si="2"/>
        <v>3054.5469999999996</v>
      </c>
      <c r="O23" s="168">
        <f t="shared" si="2"/>
        <v>2934.6040000000003</v>
      </c>
      <c r="P23" s="168">
        <f t="shared" si="2"/>
        <v>2343.3860000000004</v>
      </c>
      <c r="Q23" s="168">
        <f t="shared" si="2"/>
        <v>74427.758999999991</v>
      </c>
      <c r="R23" s="168">
        <f t="shared" si="2"/>
        <v>35509.630000000005</v>
      </c>
      <c r="S23" s="168">
        <f t="shared" si="2"/>
        <v>-38918.128999999994</v>
      </c>
      <c r="T23" s="157">
        <f>R23/Q23*100%</f>
        <v>0.47710196406692845</v>
      </c>
    </row>
    <row r="24" spans="1:20" ht="15">
      <c r="A24" s="152">
        <v>16</v>
      </c>
      <c r="B24" s="161" t="s">
        <v>1003</v>
      </c>
      <c r="C24" s="168"/>
      <c r="D24" s="168"/>
      <c r="E24" s="168">
        <v>0</v>
      </c>
      <c r="F24" s="168">
        <v>0</v>
      </c>
      <c r="G24" s="168">
        <v>28.218</v>
      </c>
      <c r="H24" s="168">
        <v>0</v>
      </c>
      <c r="I24" s="168">
        <v>0</v>
      </c>
      <c r="J24" s="168">
        <v>0</v>
      </c>
      <c r="K24" s="168">
        <v>100</v>
      </c>
      <c r="L24" s="168">
        <v>0</v>
      </c>
      <c r="M24" s="168">
        <v>0</v>
      </c>
      <c r="N24" s="168">
        <v>0</v>
      </c>
      <c r="O24" s="168">
        <v>0</v>
      </c>
      <c r="P24" s="168">
        <v>0</v>
      </c>
      <c r="Q24" s="167">
        <f>D24*12</f>
        <v>0</v>
      </c>
      <c r="R24" s="167">
        <f>E24+F24+G24+H24+I24+J24+K24+L24+M24+N24+O24+P24</f>
        <v>128.21799999999999</v>
      </c>
      <c r="S24" s="167">
        <f>R24-Q24</f>
        <v>128.21799999999999</v>
      </c>
      <c r="T24" s="157"/>
    </row>
    <row r="25" spans="1:20" s="462" customFormat="1" ht="15">
      <c r="A25" s="457">
        <v>17</v>
      </c>
      <c r="B25" s="458" t="s">
        <v>1004</v>
      </c>
      <c r="C25" s="473"/>
      <c r="D25" s="473"/>
      <c r="E25" s="473">
        <f>E23+E24</f>
        <v>2310.877</v>
      </c>
      <c r="F25" s="473">
        <f t="shared" ref="F25:P25" si="3">F23+F24</f>
        <v>2641.5039999999999</v>
      </c>
      <c r="G25" s="473">
        <f t="shared" si="3"/>
        <v>2344.6410000000001</v>
      </c>
      <c r="H25" s="473">
        <f t="shared" si="3"/>
        <v>2411.3119999999999</v>
      </c>
      <c r="I25" s="473">
        <f t="shared" si="3"/>
        <v>2848.7200000000003</v>
      </c>
      <c r="J25" s="473">
        <f t="shared" si="3"/>
        <v>2942.8450000000003</v>
      </c>
      <c r="K25" s="473">
        <f t="shared" si="3"/>
        <v>4332.6289999999999</v>
      </c>
      <c r="L25" s="473">
        <f t="shared" si="3"/>
        <v>3836.9810000000007</v>
      </c>
      <c r="M25" s="473">
        <f t="shared" si="3"/>
        <v>3635.8019999999997</v>
      </c>
      <c r="N25" s="473">
        <f t="shared" si="3"/>
        <v>3054.5469999999996</v>
      </c>
      <c r="O25" s="473">
        <f t="shared" si="3"/>
        <v>2934.6040000000003</v>
      </c>
      <c r="P25" s="473">
        <f t="shared" si="3"/>
        <v>2343.3860000000004</v>
      </c>
      <c r="Q25" s="460">
        <f>D25*12</f>
        <v>0</v>
      </c>
      <c r="R25" s="460">
        <f>E25+F25+G25+H25+I25+J25+K25+L25+M25+N25+O25+P25</f>
        <v>35637.847999999998</v>
      </c>
      <c r="S25" s="460">
        <f>R25-Q25</f>
        <v>35637.847999999998</v>
      </c>
      <c r="T25" s="461"/>
    </row>
    <row r="26" spans="1:20" ht="15">
      <c r="A26" s="152">
        <v>18</v>
      </c>
      <c r="B26" s="161" t="s">
        <v>1005</v>
      </c>
      <c r="C26" s="168"/>
      <c r="D26" s="168"/>
      <c r="E26" s="168"/>
      <c r="F26" s="168"/>
      <c r="G26" s="168"/>
      <c r="H26" s="168"/>
      <c r="I26" s="168"/>
      <c r="J26" s="168"/>
      <c r="K26" s="168"/>
      <c r="L26" s="168"/>
      <c r="M26" s="168"/>
      <c r="N26" s="168"/>
      <c r="O26" s="168"/>
      <c r="P26" s="168"/>
      <c r="Q26" s="168"/>
      <c r="R26" s="168"/>
      <c r="S26" s="168"/>
      <c r="T26" s="157"/>
    </row>
    <row r="27" spans="1:20" ht="15">
      <c r="A27" s="152">
        <v>19</v>
      </c>
      <c r="B27" s="161" t="s">
        <v>1006</v>
      </c>
      <c r="C27" s="168">
        <f>D27*12</f>
        <v>1466.796</v>
      </c>
      <c r="D27" s="168">
        <f>30.687+49.804+41.742</f>
        <v>122.233</v>
      </c>
      <c r="E27" s="168">
        <v>84.78</v>
      </c>
      <c r="F27" s="168">
        <v>107.786</v>
      </c>
      <c r="G27" s="168">
        <v>89.091999999999999</v>
      </c>
      <c r="H27" s="165">
        <v>85.376000000000005</v>
      </c>
      <c r="I27" s="165">
        <v>101.051</v>
      </c>
      <c r="J27" s="165">
        <v>111.908</v>
      </c>
      <c r="K27" s="168">
        <v>162.786</v>
      </c>
      <c r="L27" s="168">
        <v>152.68100000000001</v>
      </c>
      <c r="M27" s="168">
        <v>124.839</v>
      </c>
      <c r="N27" s="168">
        <v>116.149</v>
      </c>
      <c r="O27" s="168">
        <v>115.27800000000001</v>
      </c>
      <c r="P27" s="168">
        <v>84.251000000000005</v>
      </c>
      <c r="Q27" s="167">
        <f t="shared" ref="Q27:Q32" si="4">D27*12</f>
        <v>1466.796</v>
      </c>
      <c r="R27" s="167">
        <f t="shared" ref="R27:R32" si="5">E27+F27+G27+H27+I27+J27+K27+L27+M27+N27+O27+P27</f>
        <v>1335.9769999999999</v>
      </c>
      <c r="S27" s="167">
        <f t="shared" ref="S27:S32" si="6">R27-Q27</f>
        <v>-130.81900000000019</v>
      </c>
      <c r="T27" s="157"/>
    </row>
    <row r="28" spans="1:20" ht="15">
      <c r="A28" s="152">
        <v>20</v>
      </c>
      <c r="B28" s="161" t="s">
        <v>1007</v>
      </c>
      <c r="C28" s="165"/>
      <c r="D28" s="165"/>
      <c r="E28" s="165">
        <v>801.17499999999995</v>
      </c>
      <c r="F28" s="165">
        <v>830.66300000000001</v>
      </c>
      <c r="G28" s="165">
        <v>577.09699999999998</v>
      </c>
      <c r="H28" s="165">
        <v>747.18</v>
      </c>
      <c r="I28" s="165">
        <v>1066.442</v>
      </c>
      <c r="J28" s="165">
        <v>1171.046</v>
      </c>
      <c r="K28" s="165">
        <v>2351.4299999999998</v>
      </c>
      <c r="L28" s="165">
        <v>1683.471</v>
      </c>
      <c r="M28" s="165">
        <v>1285.845</v>
      </c>
      <c r="N28" s="165">
        <v>835.005</v>
      </c>
      <c r="O28" s="165">
        <v>724.60299999999995</v>
      </c>
      <c r="P28" s="165">
        <v>330.625</v>
      </c>
      <c r="Q28" s="167">
        <f t="shared" si="4"/>
        <v>0</v>
      </c>
      <c r="R28" s="167">
        <f t="shared" si="5"/>
        <v>12404.581999999997</v>
      </c>
      <c r="S28" s="167">
        <f t="shared" si="6"/>
        <v>12404.581999999997</v>
      </c>
      <c r="T28" s="157"/>
    </row>
    <row r="29" spans="1:20" s="438" customFormat="1" ht="15">
      <c r="A29" s="432">
        <v>21</v>
      </c>
      <c r="B29" s="433" t="s">
        <v>1008</v>
      </c>
      <c r="C29" s="474"/>
      <c r="D29" s="474"/>
      <c r="E29" s="455">
        <f>E25-E27-E28</f>
        <v>1424.9219999999998</v>
      </c>
      <c r="F29" s="455">
        <f t="shared" ref="F29:P29" si="7">F25-F27-F28</f>
        <v>1703.0549999999998</v>
      </c>
      <c r="G29" s="455">
        <f t="shared" si="7"/>
        <v>1678.452</v>
      </c>
      <c r="H29" s="455">
        <f t="shared" si="7"/>
        <v>1578.7559999999999</v>
      </c>
      <c r="I29" s="455">
        <f t="shared" si="7"/>
        <v>1681.2270000000003</v>
      </c>
      <c r="J29" s="455">
        <f t="shared" si="7"/>
        <v>1659.8910000000003</v>
      </c>
      <c r="K29" s="455">
        <f t="shared" si="7"/>
        <v>1818.413</v>
      </c>
      <c r="L29" s="455">
        <f t="shared" si="7"/>
        <v>2000.8290000000006</v>
      </c>
      <c r="M29" s="455">
        <f t="shared" si="7"/>
        <v>2225.1179999999995</v>
      </c>
      <c r="N29" s="455">
        <f t="shared" si="7"/>
        <v>2103.3929999999996</v>
      </c>
      <c r="O29" s="455">
        <f t="shared" si="7"/>
        <v>2094.7230000000004</v>
      </c>
      <c r="P29" s="455">
        <f t="shared" si="7"/>
        <v>1928.5100000000002</v>
      </c>
      <c r="Q29" s="456">
        <f t="shared" si="4"/>
        <v>0</v>
      </c>
      <c r="R29" s="456">
        <f t="shared" si="5"/>
        <v>21897.289000000004</v>
      </c>
      <c r="S29" s="456">
        <f t="shared" si="6"/>
        <v>21897.289000000004</v>
      </c>
      <c r="T29" s="437"/>
    </row>
    <row r="30" spans="1:20">
      <c r="A30" s="152">
        <v>22</v>
      </c>
      <c r="B30" s="153" t="s">
        <v>1009</v>
      </c>
      <c r="C30" s="165"/>
      <c r="D30" s="165"/>
      <c r="E30" s="165"/>
      <c r="F30" s="165"/>
      <c r="G30" s="165"/>
      <c r="H30" s="165"/>
      <c r="I30" s="165"/>
      <c r="J30" s="165"/>
      <c r="K30" s="165"/>
      <c r="L30" s="165"/>
      <c r="M30" s="165"/>
      <c r="N30" s="165"/>
      <c r="O30" s="165"/>
      <c r="P30" s="165"/>
      <c r="Q30" s="167">
        <f t="shared" si="4"/>
        <v>0</v>
      </c>
      <c r="R30" s="167">
        <f t="shared" si="5"/>
        <v>0</v>
      </c>
      <c r="S30" s="167">
        <f t="shared" si="6"/>
        <v>0</v>
      </c>
      <c r="T30" s="157"/>
    </row>
    <row r="31" spans="1:20" s="468" customFormat="1">
      <c r="A31" s="463">
        <v>23</v>
      </c>
      <c r="B31" s="464" t="s">
        <v>1010</v>
      </c>
      <c r="C31" s="465"/>
      <c r="D31" s="465"/>
      <c r="E31" s="465">
        <f>'[2]Sum &amp; FG'!$J29</f>
        <v>416.60156515770859</v>
      </c>
      <c r="F31" s="465">
        <f>'[3]Sum &amp; FG'!$J30</f>
        <v>510.15060430666858</v>
      </c>
      <c r="G31" s="465">
        <f>'[4]Sum &amp; FG'!$K$29</f>
        <v>525.68195013452396</v>
      </c>
      <c r="H31" s="465">
        <f>'[5]Sum &amp; FG'!$J29</f>
        <v>487.92156469363994</v>
      </c>
      <c r="I31" s="465">
        <f>'[6]Sum &amp; FG'!$J29</f>
        <v>521.66375408904003</v>
      </c>
      <c r="J31" s="465">
        <f>'[7]Sum &amp; FG'!$J$30</f>
        <v>496.68308730120339</v>
      </c>
      <c r="K31" s="465">
        <f>'[8]Sum &amp; FG'!$K$31</f>
        <v>595.43054176937744</v>
      </c>
      <c r="L31" s="465">
        <f>'[9]Sum &amp; FG'!$J31</f>
        <v>678.04458072200316</v>
      </c>
      <c r="M31" s="465">
        <f>'[10]Sum &amp; FG'!$J32</f>
        <v>747.11295463065915</v>
      </c>
      <c r="N31" s="465">
        <f>'[11]Sum &amp; FG'!$I$27</f>
        <v>656.51689542603799</v>
      </c>
      <c r="O31" s="465">
        <f>'[12]Sum &amp; FG'!$I$28</f>
        <v>699.594639627383</v>
      </c>
      <c r="P31" s="465">
        <f>'[13]Sum &amp; FG'!$I$27</f>
        <v>688.87294796300637</v>
      </c>
      <c r="Q31" s="466">
        <f t="shared" si="4"/>
        <v>0</v>
      </c>
      <c r="R31" s="466">
        <f t="shared" si="5"/>
        <v>7024.2750858212521</v>
      </c>
      <c r="S31" s="466">
        <f t="shared" si="6"/>
        <v>7024.2750858212521</v>
      </c>
      <c r="T31" s="467"/>
    </row>
    <row r="32" spans="1:20" s="447" customFormat="1">
      <c r="A32" s="441">
        <v>24</v>
      </c>
      <c r="B32" s="442" t="s">
        <v>1011</v>
      </c>
      <c r="C32" s="469"/>
      <c r="D32" s="469"/>
      <c r="E32" s="469">
        <f>'[2]Sum &amp; FG'!$H8</f>
        <v>498.49729696470382</v>
      </c>
      <c r="F32" s="469">
        <f>'[3]Sum &amp; FG'!$H$8</f>
        <v>593.69590805484904</v>
      </c>
      <c r="G32" s="469">
        <f>'[4]Sum &amp; FG'!$I$8</f>
        <v>562.19495597323669</v>
      </c>
      <c r="H32" s="469">
        <f>'[5]Sum &amp; FG'!$H8</f>
        <v>530.44778202843338</v>
      </c>
      <c r="I32" s="469">
        <f>'[6]Sum &amp; FG'!$H8</f>
        <v>556.74132030892292</v>
      </c>
      <c r="J32" s="469">
        <f>'[7]Sum &amp; FG'!$H8</f>
        <v>577.84138051083107</v>
      </c>
      <c r="K32" s="469">
        <f>'[8]Sum &amp; FG'!$I$8</f>
        <v>607.41761758251266</v>
      </c>
      <c r="L32" s="469">
        <f>'[9]Sum &amp; FG'!$H8</f>
        <v>660.34888006593985</v>
      </c>
      <c r="M32" s="469">
        <f>'[10]Sum &amp; FG'!$H8</f>
        <v>709.83028070724879</v>
      </c>
      <c r="N32" s="469">
        <f>'[11]Sum &amp; FG'!$G8</f>
        <v>727.1703693130969</v>
      </c>
      <c r="O32" s="469">
        <f>'[12]Sum &amp; FG'!$G8</f>
        <v>689.12036074007392</v>
      </c>
      <c r="P32" s="469">
        <f>'[13]Sum &amp; FG'!$G8</f>
        <v>601.73096610315702</v>
      </c>
      <c r="Q32" s="470">
        <f t="shared" si="4"/>
        <v>0</v>
      </c>
      <c r="R32" s="470">
        <f t="shared" si="5"/>
        <v>7315.037118353006</v>
      </c>
      <c r="S32" s="470">
        <f t="shared" si="6"/>
        <v>7315.037118353006</v>
      </c>
      <c r="T32" s="446"/>
    </row>
    <row r="33" spans="1:20" s="454" customFormat="1">
      <c r="A33" s="448">
        <v>25</v>
      </c>
      <c r="B33" s="449" t="s">
        <v>1012</v>
      </c>
      <c r="C33" s="471"/>
      <c r="D33" s="471"/>
      <c r="E33" s="471">
        <f>'[2]Sum &amp; FG'!$H9</f>
        <v>361.75295454231082</v>
      </c>
      <c r="F33" s="471">
        <f>'[3]Sum &amp; FG'!$H9</f>
        <v>431.48400782495702</v>
      </c>
      <c r="G33" s="471">
        <f>'[4]Sum &amp; FG'!$I9</f>
        <v>410.55894980527825</v>
      </c>
      <c r="H33" s="471">
        <f>'[5]Sum &amp; FG'!$H9</f>
        <v>387.00141106880017</v>
      </c>
      <c r="I33" s="471">
        <f>'[6]Sum &amp; FG'!$H9</f>
        <v>406.62625472223755</v>
      </c>
      <c r="J33" s="471">
        <f>'[7]Sum &amp; FG'!$H9</f>
        <v>419.96852434710496</v>
      </c>
      <c r="K33" s="471">
        <f>'[8]Sum &amp; FG'!$I$9</f>
        <v>444.85351954013566</v>
      </c>
      <c r="L33" s="471">
        <f>'[9]Sum &amp; FG'!$H9</f>
        <v>485.03902304983228</v>
      </c>
      <c r="M33" s="471">
        <f>'[10]Sum &amp; FG'!$H9</f>
        <v>522.22814963215035</v>
      </c>
      <c r="N33" s="471">
        <f>'[11]Sum &amp; FG'!$G9</f>
        <v>529.95415183696696</v>
      </c>
      <c r="O33" s="471">
        <f>'[12]Sum &amp; FG'!$G9</f>
        <v>505.80279686946051</v>
      </c>
      <c r="P33" s="471">
        <f>'[13]Sum &amp; FG'!$G9</f>
        <v>445.26566604394702</v>
      </c>
      <c r="Q33" s="472">
        <f t="shared" ref="Q33:Q39" si="8">D33*12</f>
        <v>0</v>
      </c>
      <c r="R33" s="472">
        <f t="shared" ref="R33:R39" si="9">E33+F33+G33+H33+I33+J33+K33+L33+M33+N33+O33+P33</f>
        <v>5350.5354092831813</v>
      </c>
      <c r="S33" s="472">
        <f t="shared" ref="S33:S39" si="10">R33-Q33</f>
        <v>5350.5354092831813</v>
      </c>
      <c r="T33" s="453"/>
    </row>
    <row r="34" spans="1:20" s="447" customFormat="1">
      <c r="A34" s="441">
        <v>26</v>
      </c>
      <c r="B34" s="442" t="s">
        <v>349</v>
      </c>
      <c r="C34" s="469"/>
      <c r="D34" s="469"/>
      <c r="E34" s="469">
        <f>'[2]Sum &amp; FG'!$H10</f>
        <v>113.4772202029593</v>
      </c>
      <c r="F34" s="469">
        <f>'[3]Sum &amp; FG'!$H10</f>
        <v>125.28413176895329</v>
      </c>
      <c r="G34" s="469">
        <f>'[4]Sum &amp; FG'!$I10</f>
        <v>136.04278992808</v>
      </c>
      <c r="H34" s="469">
        <f>'[5]Sum &amp; FG'!$H10</f>
        <v>132.61126648280251</v>
      </c>
      <c r="I34" s="469">
        <f>'[6]Sum &amp; FG'!$H10</f>
        <v>152.55342790070361</v>
      </c>
      <c r="J34" s="469">
        <f>'[7]Sum &amp; FG'!$H10</f>
        <v>124.07641586671299</v>
      </c>
      <c r="K34" s="469">
        <f>'[8]Sum &amp; FG'!$I$10</f>
        <v>120.7581094074052</v>
      </c>
      <c r="L34" s="469">
        <f>'[9]Sum &amp; FG'!$H10</f>
        <v>120.3593796501748</v>
      </c>
      <c r="M34" s="469">
        <f>'[10]Sum &amp; FG'!$H10</f>
        <v>183.0125408413553</v>
      </c>
      <c r="N34" s="469">
        <f>'[11]Sum &amp; FG'!$G10</f>
        <v>134.95686520011401</v>
      </c>
      <c r="O34" s="469">
        <f>'[12]Sum &amp; FG'!$G10</f>
        <v>141.394893434648</v>
      </c>
      <c r="P34" s="469">
        <f>'[13]Sum &amp; FG'!$G10</f>
        <v>134.35550370658999</v>
      </c>
      <c r="Q34" s="470">
        <f t="shared" si="8"/>
        <v>0</v>
      </c>
      <c r="R34" s="470">
        <f t="shared" si="9"/>
        <v>1618.8825443904991</v>
      </c>
      <c r="S34" s="470">
        <f t="shared" si="10"/>
        <v>1618.8825443904991</v>
      </c>
      <c r="T34" s="446"/>
    </row>
    <row r="35" spans="1:20">
      <c r="A35" s="152">
        <v>27</v>
      </c>
      <c r="B35" s="153" t="s">
        <v>1013</v>
      </c>
      <c r="C35" s="165"/>
      <c r="D35" s="165"/>
      <c r="E35" s="168">
        <f>'[2]Sum &amp; FG'!$J30</f>
        <v>6.7536111112962001</v>
      </c>
      <c r="F35" s="168">
        <f>'[3]Sum &amp; FG'!$J31</f>
        <v>8.3844262587354006</v>
      </c>
      <c r="G35" s="168">
        <f>'[4]Sum &amp; FG'!$K30</f>
        <v>8.9781015949412009</v>
      </c>
      <c r="H35" s="168">
        <f>'[5]Sum &amp; FG'!$J30</f>
        <v>8.2742424308500002</v>
      </c>
      <c r="I35" s="168">
        <f>'[6]Sum &amp; FG'!$J30</f>
        <v>8.9173684103399999</v>
      </c>
      <c r="J35" s="168">
        <f>'[7]Sum &amp; FG'!$J31</f>
        <v>8.1643238341371998</v>
      </c>
      <c r="K35" s="168">
        <f>'[8]Sum &amp; FG'!$K32</f>
        <v>10.3698244896503</v>
      </c>
      <c r="L35" s="168">
        <f>'[9]Sum &amp; FG'!$J32</f>
        <v>12.022577533586402</v>
      </c>
      <c r="M35" s="168">
        <f>'[10]Sum &amp; FG'!$J33</f>
        <v>13.3686461693443</v>
      </c>
      <c r="N35" s="168">
        <f>'[11]Sum &amp; FG'!$I28</f>
        <v>11.0416103996833</v>
      </c>
      <c r="O35" s="168">
        <f>'[12]Sum &amp; FG'!$I29</f>
        <v>12.351552927958402</v>
      </c>
      <c r="P35" s="168">
        <f>'[13]Sum &amp; FG'!$I28</f>
        <v>12.686703466106001</v>
      </c>
      <c r="Q35" s="167">
        <f t="shared" si="8"/>
        <v>0</v>
      </c>
      <c r="R35" s="167">
        <f t="shared" si="9"/>
        <v>121.31298862662871</v>
      </c>
      <c r="S35" s="167">
        <f t="shared" si="10"/>
        <v>121.31298862662871</v>
      </c>
      <c r="T35" s="157"/>
    </row>
    <row r="36" spans="1:20">
      <c r="A36" s="152">
        <v>28</v>
      </c>
      <c r="B36" s="153" t="s">
        <v>1014</v>
      </c>
      <c r="C36" s="165"/>
      <c r="D36" s="165"/>
      <c r="E36" s="168">
        <f>'[2]Sum &amp; FG'!$J31</f>
        <v>3.3768055556481</v>
      </c>
      <c r="F36" s="168">
        <f>'[3]Sum &amp; FG'!$J32</f>
        <v>4.1922131293677003</v>
      </c>
      <c r="G36" s="168">
        <f>'[4]Sum &amp; FG'!$K31</f>
        <v>4.6118026573155992</v>
      </c>
      <c r="H36" s="168">
        <f>'[5]Sum &amp; FG'!$J31</f>
        <v>4.1371212154250001</v>
      </c>
      <c r="I36" s="168">
        <f>'[6]Sum &amp; FG'!$J31</f>
        <v>4.4586842051649995</v>
      </c>
      <c r="J36" s="168">
        <f>'[7]Sum &amp; FG'!$J32</f>
        <v>4.0821619170685999</v>
      </c>
      <c r="K36" s="168">
        <f>'[8]Sum &amp; FG'!$K33</f>
        <v>5.1849122448251999</v>
      </c>
      <c r="L36" s="168">
        <f>'[9]Sum &amp; FG'!$J33</f>
        <v>6.0112887667932009</v>
      </c>
      <c r="M36" s="168">
        <f>'[10]Sum &amp; FG'!$J34</f>
        <v>6.6843230846721005</v>
      </c>
      <c r="N36" s="168">
        <f>'[11]Sum &amp; FG'!$I29</f>
        <v>5.5208051998416003</v>
      </c>
      <c r="O36" s="168">
        <f>'[12]Sum &amp; FG'!$I30</f>
        <v>6.1757764639792008</v>
      </c>
      <c r="P36" s="168">
        <f>'[13]Sum &amp; FG'!$I29</f>
        <v>6.3433517330530007</v>
      </c>
      <c r="Q36" s="167">
        <f t="shared" si="8"/>
        <v>0</v>
      </c>
      <c r="R36" s="167">
        <f t="shared" si="9"/>
        <v>60.779246173154306</v>
      </c>
      <c r="S36" s="167">
        <f t="shared" si="10"/>
        <v>60.779246173154306</v>
      </c>
      <c r="T36" s="157"/>
    </row>
    <row r="37" spans="1:20">
      <c r="A37" s="152">
        <v>29</v>
      </c>
      <c r="B37" s="153" t="s">
        <v>1015</v>
      </c>
      <c r="C37" s="165"/>
      <c r="D37" s="165"/>
      <c r="E37" s="168">
        <f>'[2]Sum &amp; FG'!$J32</f>
        <v>11.346066666977601</v>
      </c>
      <c r="F37" s="168">
        <f>'[3]Sum &amp; FG'!$J33</f>
        <v>14.0858361146754</v>
      </c>
      <c r="G37" s="168">
        <f>'[4]Sum &amp; FG'!$K32</f>
        <v>14.793516290272001</v>
      </c>
      <c r="H37" s="168">
        <f>'[5]Sum &amp; FG'!$J32</f>
        <v>13.900727283829999</v>
      </c>
      <c r="I37" s="168">
        <f>'[6]Sum &amp; FG'!$J32</f>
        <v>14.981178929370001</v>
      </c>
      <c r="J37" s="168">
        <f>'[7]Sum &amp; FG'!$J33</f>
        <v>13.716064041350499</v>
      </c>
      <c r="K37" s="168">
        <f>'[8]Sum &amp; FG'!$K34</f>
        <v>17.421305142612603</v>
      </c>
      <c r="L37" s="168">
        <f>'[9]Sum &amp; FG'!$J34</f>
        <v>20.1979302564203</v>
      </c>
      <c r="M37" s="168">
        <f>'[10]Sum &amp; FG'!$J35</f>
        <v>22.459325564498403</v>
      </c>
      <c r="N37" s="168">
        <f>'[11]Sum &amp; FG'!$I30</f>
        <v>18.549905471467898</v>
      </c>
      <c r="O37" s="168">
        <f>'[12]Sum &amp; FG'!$I31</f>
        <v>20.750608918970102</v>
      </c>
      <c r="P37" s="168">
        <f>'[13]Sum &amp; FG'!$I30</f>
        <v>21.313661823058101</v>
      </c>
      <c r="Q37" s="167">
        <f t="shared" si="8"/>
        <v>0</v>
      </c>
      <c r="R37" s="167">
        <f t="shared" si="9"/>
        <v>203.51612650350293</v>
      </c>
      <c r="S37" s="167">
        <f t="shared" si="10"/>
        <v>203.51612650350293</v>
      </c>
      <c r="T37" s="157"/>
    </row>
    <row r="38" spans="1:20">
      <c r="A38" s="152">
        <v>30</v>
      </c>
      <c r="B38" s="153" t="s">
        <v>1016</v>
      </c>
      <c r="C38" s="165"/>
      <c r="D38" s="165"/>
      <c r="E38" s="168">
        <f>'[2]Sum &amp; FG'!$J33</f>
        <v>13.1144272727136</v>
      </c>
      <c r="F38" s="168">
        <f>'[3]Sum &amp; FG'!$J34</f>
        <v>15.777707027164199</v>
      </c>
      <c r="G38" s="168">
        <f>'[4]Sum &amp; FG'!$K33</f>
        <v>15.5910457514612</v>
      </c>
      <c r="H38" s="168">
        <f>'[5]Sum &amp; FG'!$J33</f>
        <v>14.46144291637</v>
      </c>
      <c r="I38" s="168">
        <f>'[6]Sum &amp; FG'!$J33</f>
        <v>15.286753138040002</v>
      </c>
      <c r="J38" s="168">
        <f>'[7]Sum &amp; FG'!$J34</f>
        <v>15.358136787387199</v>
      </c>
      <c r="K38" s="168">
        <f>'[8]Sum &amp; FG'!$K35</f>
        <v>16.9765426340314</v>
      </c>
      <c r="L38" s="168">
        <f>'[9]Sum &amp; FG'!$J35</f>
        <v>18.804689700958203</v>
      </c>
      <c r="M38" s="168">
        <f>'[10]Sum &amp; FG'!$J36</f>
        <v>20.4210472705917</v>
      </c>
      <c r="N38" s="168">
        <f>'[11]Sum &amp; FG'!$I31</f>
        <v>19.684381188353303</v>
      </c>
      <c r="O38" s="168">
        <f>'[12]Sum &amp; FG'!$I32</f>
        <v>19.533290258058404</v>
      </c>
      <c r="P38" s="168">
        <f>'[13]Sum &amp; FG'!$I31</f>
        <v>17.941548455882103</v>
      </c>
      <c r="Q38" s="167">
        <f t="shared" si="8"/>
        <v>0</v>
      </c>
      <c r="R38" s="167">
        <f t="shared" si="9"/>
        <v>202.9510124010113</v>
      </c>
      <c r="S38" s="167">
        <f t="shared" si="10"/>
        <v>202.9510124010113</v>
      </c>
      <c r="T38" s="157"/>
    </row>
    <row r="39" spans="1:20">
      <c r="A39" s="152">
        <v>31</v>
      </c>
      <c r="B39" s="153" t="s">
        <v>339</v>
      </c>
      <c r="C39" s="168"/>
      <c r="D39" s="168"/>
      <c r="E39" s="168">
        <f>SUM(E31:E38)</f>
        <v>1424.919947474318</v>
      </c>
      <c r="F39" s="168">
        <f>SUM(F31:F38)</f>
        <v>1703.0548344853707</v>
      </c>
      <c r="G39" s="168">
        <f t="shared" ref="G39:P39" si="11">SUM(G31:G38)</f>
        <v>1678.4531121351088</v>
      </c>
      <c r="H39" s="168">
        <f t="shared" si="11"/>
        <v>1578.7555581201511</v>
      </c>
      <c r="I39" s="168">
        <f t="shared" si="11"/>
        <v>1681.2287417038187</v>
      </c>
      <c r="J39" s="168">
        <f t="shared" si="11"/>
        <v>1659.8900946057956</v>
      </c>
      <c r="K39" s="168">
        <f t="shared" si="11"/>
        <v>1818.4123728105506</v>
      </c>
      <c r="L39" s="168">
        <f t="shared" si="11"/>
        <v>2000.8283497457082</v>
      </c>
      <c r="M39" s="168">
        <f t="shared" si="11"/>
        <v>2225.1172679005199</v>
      </c>
      <c r="N39" s="168">
        <f t="shared" si="11"/>
        <v>2103.3949840355617</v>
      </c>
      <c r="O39" s="168">
        <f t="shared" si="11"/>
        <v>2094.7239192405318</v>
      </c>
      <c r="P39" s="168">
        <f t="shared" si="11"/>
        <v>1928.5103492947997</v>
      </c>
      <c r="Q39" s="167">
        <f t="shared" si="8"/>
        <v>0</v>
      </c>
      <c r="R39" s="167">
        <f t="shared" si="9"/>
        <v>21897.289531552236</v>
      </c>
      <c r="S39" s="167">
        <f t="shared" si="10"/>
        <v>21897.289531552236</v>
      </c>
      <c r="T39" s="157"/>
    </row>
    <row r="40" spans="1:20">
      <c r="A40" s="152">
        <v>32</v>
      </c>
      <c r="B40" s="163" t="s">
        <v>1017</v>
      </c>
      <c r="C40" s="168"/>
      <c r="D40" s="169"/>
      <c r="E40" s="169">
        <f>E29-E39</f>
        <v>2.0525256818473281E-3</v>
      </c>
      <c r="F40" s="169">
        <f>F29-F39</f>
        <v>1.6551462908864778E-4</v>
      </c>
      <c r="G40" s="169">
        <f t="shared" ref="G40:P40" si="12">G29-G39</f>
        <v>-1.1121351087695075E-3</v>
      </c>
      <c r="H40" s="169">
        <f t="shared" si="12"/>
        <v>4.4187984872223751E-4</v>
      </c>
      <c r="I40" s="169">
        <f t="shared" si="12"/>
        <v>-1.7417038184248668E-3</v>
      </c>
      <c r="J40" s="169">
        <f t="shared" si="12"/>
        <v>9.0539420466484444E-4</v>
      </c>
      <c r="K40" s="169">
        <f t="shared" si="12"/>
        <v>6.2718944946027477E-4</v>
      </c>
      <c r="L40" s="169">
        <f t="shared" si="12"/>
        <v>6.5025429239540244E-4</v>
      </c>
      <c r="M40" s="169">
        <f t="shared" si="12"/>
        <v>7.3209947959185229E-4</v>
      </c>
      <c r="N40" s="169">
        <f t="shared" si="12"/>
        <v>-1.9840355621454364E-3</v>
      </c>
      <c r="O40" s="169">
        <f t="shared" si="12"/>
        <v>-9.1924053140246542E-4</v>
      </c>
      <c r="P40" s="169">
        <f t="shared" si="12"/>
        <v>-3.4929479943457409E-4</v>
      </c>
      <c r="Q40" s="167"/>
      <c r="R40" s="167"/>
      <c r="S40" s="167"/>
      <c r="T40" s="157"/>
    </row>
    <row r="41" spans="1:20">
      <c r="C41" s="170"/>
      <c r="D41" s="170"/>
      <c r="E41" s="170">
        <f>SUM(E35:E38)</f>
        <v>34.590910606635497</v>
      </c>
      <c r="F41" s="170">
        <f t="shared" ref="F41:P41" si="13">SUM(F35:F38)</f>
        <v>42.440182529942696</v>
      </c>
      <c r="G41" s="170">
        <f t="shared" si="13"/>
        <v>43.974466293990005</v>
      </c>
      <c r="H41" s="170">
        <f t="shared" si="13"/>
        <v>40.773533846475004</v>
      </c>
      <c r="I41" s="170">
        <f t="shared" si="13"/>
        <v>43.643984682915004</v>
      </c>
      <c r="J41" s="170">
        <f t="shared" si="13"/>
        <v>41.320686579943498</v>
      </c>
      <c r="K41" s="170">
        <f t="shared" si="13"/>
        <v>49.952584511119511</v>
      </c>
      <c r="L41" s="170">
        <f t="shared" si="13"/>
        <v>57.036486257758114</v>
      </c>
      <c r="M41" s="170">
        <f t="shared" si="13"/>
        <v>62.933342089106503</v>
      </c>
      <c r="N41" s="170">
        <f t="shared" si="13"/>
        <v>54.796702259346105</v>
      </c>
      <c r="O41" s="170">
        <f t="shared" si="13"/>
        <v>58.811228568966101</v>
      </c>
      <c r="P41" s="170">
        <f t="shared" si="13"/>
        <v>58.285265478099205</v>
      </c>
      <c r="Q41" s="170"/>
      <c r="R41" s="170"/>
      <c r="S41" s="170"/>
    </row>
    <row r="42" spans="1:20">
      <c r="C42" s="170"/>
      <c r="D42" s="170"/>
      <c r="E42" s="170"/>
      <c r="F42" s="170"/>
      <c r="G42" s="170"/>
      <c r="H42" s="170"/>
      <c r="I42" s="170"/>
      <c r="J42" s="170"/>
      <c r="K42" s="170"/>
      <c r="L42" s="170"/>
      <c r="M42" s="170"/>
      <c r="N42" s="170"/>
      <c r="O42" s="170"/>
      <c r="P42" s="170"/>
      <c r="Q42" s="170"/>
      <c r="R42" s="170"/>
      <c r="S42" s="170"/>
    </row>
    <row r="43" spans="1:20">
      <c r="C43" s="170"/>
      <c r="D43" s="170"/>
      <c r="E43" s="170"/>
      <c r="F43" s="170"/>
      <c r="G43" s="170"/>
      <c r="H43" s="170"/>
      <c r="I43" s="170"/>
      <c r="J43" s="170"/>
      <c r="K43" s="170"/>
      <c r="L43" s="170"/>
      <c r="M43" s="170"/>
      <c r="N43" s="170"/>
      <c r="O43" s="170"/>
      <c r="P43" s="170"/>
      <c r="Q43" s="170"/>
      <c r="R43" s="170"/>
      <c r="S43" s="170"/>
    </row>
    <row r="44" spans="1:20">
      <c r="C44" s="170"/>
      <c r="D44" s="170"/>
      <c r="E44" s="170"/>
      <c r="F44" s="170"/>
      <c r="G44" s="170"/>
      <c r="H44" s="170"/>
      <c r="I44" s="170"/>
      <c r="J44" s="170"/>
      <c r="K44" s="170"/>
      <c r="L44" s="170"/>
      <c r="M44" s="170"/>
      <c r="N44" s="170"/>
      <c r="O44" s="170"/>
      <c r="P44" s="170"/>
      <c r="Q44" s="170"/>
      <c r="R44" s="170"/>
      <c r="S44" s="170"/>
    </row>
    <row r="45" spans="1:20">
      <c r="C45" s="170" t="s">
        <v>1018</v>
      </c>
      <c r="D45" s="170">
        <f>SUM(E39:P39)</f>
        <v>21897.289531552236</v>
      </c>
      <c r="E45" s="170"/>
      <c r="F45" s="170"/>
      <c r="G45" s="170"/>
      <c r="H45" s="170"/>
      <c r="I45" s="170"/>
      <c r="J45" s="170"/>
      <c r="K45" s="170"/>
      <c r="L45" s="170"/>
      <c r="M45" s="170"/>
      <c r="N45" s="170"/>
      <c r="O45" s="170"/>
      <c r="P45" s="170"/>
      <c r="Q45" s="170"/>
      <c r="R45" s="170"/>
      <c r="S45" s="170"/>
    </row>
    <row r="46" spans="1:20">
      <c r="C46" s="170"/>
      <c r="D46" s="170"/>
      <c r="E46" s="170"/>
      <c r="F46" s="170"/>
      <c r="G46" s="170"/>
      <c r="H46" s="170"/>
      <c r="I46" s="170"/>
      <c r="J46" s="170"/>
      <c r="K46" s="170"/>
      <c r="L46" s="170"/>
      <c r="M46" s="170"/>
      <c r="N46" s="170"/>
      <c r="O46" s="170"/>
      <c r="P46" s="170"/>
      <c r="Q46" s="170"/>
      <c r="R46" s="170"/>
      <c r="S46" s="170"/>
    </row>
    <row r="47" spans="1:20">
      <c r="C47" s="170"/>
      <c r="D47" s="170"/>
      <c r="E47" s="170"/>
      <c r="F47" s="170"/>
      <c r="G47" s="170"/>
      <c r="H47" s="170"/>
      <c r="I47" s="170"/>
      <c r="J47" s="170"/>
      <c r="K47" s="170"/>
      <c r="L47" s="170"/>
      <c r="M47" s="170"/>
      <c r="N47" s="170"/>
      <c r="O47" s="170"/>
      <c r="P47" s="170"/>
      <c r="Q47" s="170"/>
      <c r="R47" s="170"/>
      <c r="S47" s="170"/>
    </row>
    <row r="48" spans="1:20">
      <c r="C48" s="170"/>
      <c r="D48" s="170"/>
      <c r="E48" s="170"/>
      <c r="F48" s="170"/>
      <c r="G48" s="170"/>
      <c r="H48" s="170"/>
      <c r="I48" s="170"/>
      <c r="J48" s="170"/>
      <c r="K48" s="170"/>
      <c r="L48" s="170"/>
      <c r="M48" s="170"/>
      <c r="N48" s="170"/>
      <c r="O48" s="170"/>
      <c r="P48" s="170"/>
      <c r="Q48" s="170"/>
      <c r="R48" s="170"/>
      <c r="S48" s="170"/>
    </row>
    <row r="49" spans="3:19">
      <c r="C49" s="170"/>
      <c r="D49" s="170"/>
      <c r="E49" s="170"/>
      <c r="F49" s="170"/>
      <c r="G49" s="170"/>
      <c r="H49" s="170"/>
      <c r="I49" s="170"/>
      <c r="J49" s="170"/>
      <c r="K49" s="170"/>
      <c r="L49" s="170"/>
      <c r="M49" s="170"/>
      <c r="N49" s="170"/>
      <c r="O49" s="170"/>
      <c r="P49" s="170"/>
      <c r="Q49" s="170"/>
      <c r="R49" s="170"/>
      <c r="S49" s="170"/>
    </row>
  </sheetData>
  <mergeCells count="5">
    <mergeCell ref="A1:T1"/>
    <mergeCell ref="A2:T2"/>
    <mergeCell ref="A3:T3"/>
    <mergeCell ref="C5:D5"/>
    <mergeCell ref="Q5:T5"/>
  </mergeCells>
  <pageMargins left="0.70866141732283472" right="0.70866141732283472" top="0.74803149606299213" bottom="0.74803149606299213" header="0.31496062992125984" footer="0.31496062992125984"/>
  <pageSetup paperSize="9" scale="2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A38FF-7947-4457-94FB-35CB4135B388}">
  <sheetPr>
    <pageSetUpPr fitToPage="1"/>
  </sheetPr>
  <dimension ref="A1:T43"/>
  <sheetViews>
    <sheetView topLeftCell="A4" workbookViewId="0">
      <pane xSplit="2" ySplit="4" topLeftCell="J10" activePane="bottomRight" state="frozen"/>
      <selection pane="bottomRight" activeCell="G41" sqref="G41"/>
      <selection pane="bottomLeft" activeCell="D18" sqref="D18"/>
      <selection pane="topRight" activeCell="D18" sqref="D18"/>
    </sheetView>
  </sheetViews>
  <sheetFormatPr defaultColWidth="9.140625" defaultRowHeight="14.1"/>
  <cols>
    <col min="1" max="1" width="5.28515625" style="35" customWidth="1"/>
    <col min="2" max="2" width="71.140625" style="35" customWidth="1"/>
    <col min="3" max="4" width="20.85546875" style="35" customWidth="1"/>
    <col min="5" max="5" width="18.42578125" style="35" customWidth="1"/>
    <col min="6" max="6" width="19" style="35" customWidth="1"/>
    <col min="7" max="19" width="20.85546875" style="35" customWidth="1"/>
    <col min="20" max="20" width="21.85546875" style="35" customWidth="1"/>
    <col min="21" max="256" width="9.140625" style="35"/>
    <col min="257" max="257" width="5.28515625" style="35" customWidth="1"/>
    <col min="258" max="258" width="57.85546875" style="35" customWidth="1"/>
    <col min="259" max="260" width="20.85546875" style="35" customWidth="1"/>
    <col min="261" max="261" width="18.42578125" style="35" customWidth="1"/>
    <col min="262" max="262" width="19" style="35" customWidth="1"/>
    <col min="263" max="275" width="20.85546875" style="35" customWidth="1"/>
    <col min="276" max="276" width="21.85546875" style="35" customWidth="1"/>
    <col min="277" max="512" width="9.140625" style="35"/>
    <col min="513" max="513" width="5.28515625" style="35" customWidth="1"/>
    <col min="514" max="514" width="57.85546875" style="35" customWidth="1"/>
    <col min="515" max="516" width="20.85546875" style="35" customWidth="1"/>
    <col min="517" max="517" width="18.42578125" style="35" customWidth="1"/>
    <col min="518" max="518" width="19" style="35" customWidth="1"/>
    <col min="519" max="531" width="20.85546875" style="35" customWidth="1"/>
    <col min="532" max="532" width="21.85546875" style="35" customWidth="1"/>
    <col min="533" max="768" width="9.140625" style="35"/>
    <col min="769" max="769" width="5.28515625" style="35" customWidth="1"/>
    <col min="770" max="770" width="57.85546875" style="35" customWidth="1"/>
    <col min="771" max="772" width="20.85546875" style="35" customWidth="1"/>
    <col min="773" max="773" width="18.42578125" style="35" customWidth="1"/>
    <col min="774" max="774" width="19" style="35" customWidth="1"/>
    <col min="775" max="787" width="20.85546875" style="35" customWidth="1"/>
    <col min="788" max="788" width="21.85546875" style="35" customWidth="1"/>
    <col min="789" max="1024" width="9.140625" style="35"/>
    <col min="1025" max="1025" width="5.28515625" style="35" customWidth="1"/>
    <col min="1026" max="1026" width="57.85546875" style="35" customWidth="1"/>
    <col min="1027" max="1028" width="20.85546875" style="35" customWidth="1"/>
    <col min="1029" max="1029" width="18.42578125" style="35" customWidth="1"/>
    <col min="1030" max="1030" width="19" style="35" customWidth="1"/>
    <col min="1031" max="1043" width="20.85546875" style="35" customWidth="1"/>
    <col min="1044" max="1044" width="21.85546875" style="35" customWidth="1"/>
    <col min="1045" max="1280" width="9.140625" style="35"/>
    <col min="1281" max="1281" width="5.28515625" style="35" customWidth="1"/>
    <col min="1282" max="1282" width="57.85546875" style="35" customWidth="1"/>
    <col min="1283" max="1284" width="20.85546875" style="35" customWidth="1"/>
    <col min="1285" max="1285" width="18.42578125" style="35" customWidth="1"/>
    <col min="1286" max="1286" width="19" style="35" customWidth="1"/>
    <col min="1287" max="1299" width="20.85546875" style="35" customWidth="1"/>
    <col min="1300" max="1300" width="21.85546875" style="35" customWidth="1"/>
    <col min="1301" max="1536" width="9.140625" style="35"/>
    <col min="1537" max="1537" width="5.28515625" style="35" customWidth="1"/>
    <col min="1538" max="1538" width="57.85546875" style="35" customWidth="1"/>
    <col min="1539" max="1540" width="20.85546875" style="35" customWidth="1"/>
    <col min="1541" max="1541" width="18.42578125" style="35" customWidth="1"/>
    <col min="1542" max="1542" width="19" style="35" customWidth="1"/>
    <col min="1543" max="1555" width="20.85546875" style="35" customWidth="1"/>
    <col min="1556" max="1556" width="21.85546875" style="35" customWidth="1"/>
    <col min="1557" max="1792" width="9.140625" style="35"/>
    <col min="1793" max="1793" width="5.28515625" style="35" customWidth="1"/>
    <col min="1794" max="1794" width="57.85546875" style="35" customWidth="1"/>
    <col min="1795" max="1796" width="20.85546875" style="35" customWidth="1"/>
    <col min="1797" max="1797" width="18.42578125" style="35" customWidth="1"/>
    <col min="1798" max="1798" width="19" style="35" customWidth="1"/>
    <col min="1799" max="1811" width="20.85546875" style="35" customWidth="1"/>
    <col min="1812" max="1812" width="21.85546875" style="35" customWidth="1"/>
    <col min="1813" max="2048" width="9.140625" style="35"/>
    <col min="2049" max="2049" width="5.28515625" style="35" customWidth="1"/>
    <col min="2050" max="2050" width="57.85546875" style="35" customWidth="1"/>
    <col min="2051" max="2052" width="20.85546875" style="35" customWidth="1"/>
    <col min="2053" max="2053" width="18.42578125" style="35" customWidth="1"/>
    <col min="2054" max="2054" width="19" style="35" customWidth="1"/>
    <col min="2055" max="2067" width="20.85546875" style="35" customWidth="1"/>
    <col min="2068" max="2068" width="21.85546875" style="35" customWidth="1"/>
    <col min="2069" max="2304" width="9.140625" style="35"/>
    <col min="2305" max="2305" width="5.28515625" style="35" customWidth="1"/>
    <col min="2306" max="2306" width="57.85546875" style="35" customWidth="1"/>
    <col min="2307" max="2308" width="20.85546875" style="35" customWidth="1"/>
    <col min="2309" max="2309" width="18.42578125" style="35" customWidth="1"/>
    <col min="2310" max="2310" width="19" style="35" customWidth="1"/>
    <col min="2311" max="2323" width="20.85546875" style="35" customWidth="1"/>
    <col min="2324" max="2324" width="21.85546875" style="35" customWidth="1"/>
    <col min="2325" max="2560" width="9.140625" style="35"/>
    <col min="2561" max="2561" width="5.28515625" style="35" customWidth="1"/>
    <col min="2562" max="2562" width="57.85546875" style="35" customWidth="1"/>
    <col min="2563" max="2564" width="20.85546875" style="35" customWidth="1"/>
    <col min="2565" max="2565" width="18.42578125" style="35" customWidth="1"/>
    <col min="2566" max="2566" width="19" style="35" customWidth="1"/>
    <col min="2567" max="2579" width="20.85546875" style="35" customWidth="1"/>
    <col min="2580" max="2580" width="21.85546875" style="35" customWidth="1"/>
    <col min="2581" max="2816" width="9.140625" style="35"/>
    <col min="2817" max="2817" width="5.28515625" style="35" customWidth="1"/>
    <col min="2818" max="2818" width="57.85546875" style="35" customWidth="1"/>
    <col min="2819" max="2820" width="20.85546875" style="35" customWidth="1"/>
    <col min="2821" max="2821" width="18.42578125" style="35" customWidth="1"/>
    <col min="2822" max="2822" width="19" style="35" customWidth="1"/>
    <col min="2823" max="2835" width="20.85546875" style="35" customWidth="1"/>
    <col min="2836" max="2836" width="21.85546875" style="35" customWidth="1"/>
    <col min="2837" max="3072" width="9.140625" style="35"/>
    <col min="3073" max="3073" width="5.28515625" style="35" customWidth="1"/>
    <col min="3074" max="3074" width="57.85546875" style="35" customWidth="1"/>
    <col min="3075" max="3076" width="20.85546875" style="35" customWidth="1"/>
    <col min="3077" max="3077" width="18.42578125" style="35" customWidth="1"/>
    <col min="3078" max="3078" width="19" style="35" customWidth="1"/>
    <col min="3079" max="3091" width="20.85546875" style="35" customWidth="1"/>
    <col min="3092" max="3092" width="21.85546875" style="35" customWidth="1"/>
    <col min="3093" max="3328" width="9.140625" style="35"/>
    <col min="3329" max="3329" width="5.28515625" style="35" customWidth="1"/>
    <col min="3330" max="3330" width="57.85546875" style="35" customWidth="1"/>
    <col min="3331" max="3332" width="20.85546875" style="35" customWidth="1"/>
    <col min="3333" max="3333" width="18.42578125" style="35" customWidth="1"/>
    <col min="3334" max="3334" width="19" style="35" customWidth="1"/>
    <col min="3335" max="3347" width="20.85546875" style="35" customWidth="1"/>
    <col min="3348" max="3348" width="21.85546875" style="35" customWidth="1"/>
    <col min="3349" max="3584" width="9.140625" style="35"/>
    <col min="3585" max="3585" width="5.28515625" style="35" customWidth="1"/>
    <col min="3586" max="3586" width="57.85546875" style="35" customWidth="1"/>
    <col min="3587" max="3588" width="20.85546875" style="35" customWidth="1"/>
    <col min="3589" max="3589" width="18.42578125" style="35" customWidth="1"/>
    <col min="3590" max="3590" width="19" style="35" customWidth="1"/>
    <col min="3591" max="3603" width="20.85546875" style="35" customWidth="1"/>
    <col min="3604" max="3604" width="21.85546875" style="35" customWidth="1"/>
    <col min="3605" max="3840" width="9.140625" style="35"/>
    <col min="3841" max="3841" width="5.28515625" style="35" customWidth="1"/>
    <col min="3842" max="3842" width="57.85546875" style="35" customWidth="1"/>
    <col min="3843" max="3844" width="20.85546875" style="35" customWidth="1"/>
    <col min="3845" max="3845" width="18.42578125" style="35" customWidth="1"/>
    <col min="3846" max="3846" width="19" style="35" customWidth="1"/>
    <col min="3847" max="3859" width="20.85546875" style="35" customWidth="1"/>
    <col min="3860" max="3860" width="21.85546875" style="35" customWidth="1"/>
    <col min="3861" max="4096" width="9.140625" style="35"/>
    <col min="4097" max="4097" width="5.28515625" style="35" customWidth="1"/>
    <col min="4098" max="4098" width="57.85546875" style="35" customWidth="1"/>
    <col min="4099" max="4100" width="20.85546875" style="35" customWidth="1"/>
    <col min="4101" max="4101" width="18.42578125" style="35" customWidth="1"/>
    <col min="4102" max="4102" width="19" style="35" customWidth="1"/>
    <col min="4103" max="4115" width="20.85546875" style="35" customWidth="1"/>
    <col min="4116" max="4116" width="21.85546875" style="35" customWidth="1"/>
    <col min="4117" max="4352" width="9.140625" style="35"/>
    <col min="4353" max="4353" width="5.28515625" style="35" customWidth="1"/>
    <col min="4354" max="4354" width="57.85546875" style="35" customWidth="1"/>
    <col min="4355" max="4356" width="20.85546875" style="35" customWidth="1"/>
    <col min="4357" max="4357" width="18.42578125" style="35" customWidth="1"/>
    <col min="4358" max="4358" width="19" style="35" customWidth="1"/>
    <col min="4359" max="4371" width="20.85546875" style="35" customWidth="1"/>
    <col min="4372" max="4372" width="21.85546875" style="35" customWidth="1"/>
    <col min="4373" max="4608" width="9.140625" style="35"/>
    <col min="4609" max="4609" width="5.28515625" style="35" customWidth="1"/>
    <col min="4610" max="4610" width="57.85546875" style="35" customWidth="1"/>
    <col min="4611" max="4612" width="20.85546875" style="35" customWidth="1"/>
    <col min="4613" max="4613" width="18.42578125" style="35" customWidth="1"/>
    <col min="4614" max="4614" width="19" style="35" customWidth="1"/>
    <col min="4615" max="4627" width="20.85546875" style="35" customWidth="1"/>
    <col min="4628" max="4628" width="21.85546875" style="35" customWidth="1"/>
    <col min="4629" max="4864" width="9.140625" style="35"/>
    <col min="4865" max="4865" width="5.28515625" style="35" customWidth="1"/>
    <col min="4866" max="4866" width="57.85546875" style="35" customWidth="1"/>
    <col min="4867" max="4868" width="20.85546875" style="35" customWidth="1"/>
    <col min="4869" max="4869" width="18.42578125" style="35" customWidth="1"/>
    <col min="4870" max="4870" width="19" style="35" customWidth="1"/>
    <col min="4871" max="4883" width="20.85546875" style="35" customWidth="1"/>
    <col min="4884" max="4884" width="21.85546875" style="35" customWidth="1"/>
    <col min="4885" max="5120" width="9.140625" style="35"/>
    <col min="5121" max="5121" width="5.28515625" style="35" customWidth="1"/>
    <col min="5122" max="5122" width="57.85546875" style="35" customWidth="1"/>
    <col min="5123" max="5124" width="20.85546875" style="35" customWidth="1"/>
    <col min="5125" max="5125" width="18.42578125" style="35" customWidth="1"/>
    <col min="5126" max="5126" width="19" style="35" customWidth="1"/>
    <col min="5127" max="5139" width="20.85546875" style="35" customWidth="1"/>
    <col min="5140" max="5140" width="21.85546875" style="35" customWidth="1"/>
    <col min="5141" max="5376" width="9.140625" style="35"/>
    <col min="5377" max="5377" width="5.28515625" style="35" customWidth="1"/>
    <col min="5378" max="5378" width="57.85546875" style="35" customWidth="1"/>
    <col min="5379" max="5380" width="20.85546875" style="35" customWidth="1"/>
    <col min="5381" max="5381" width="18.42578125" style="35" customWidth="1"/>
    <col min="5382" max="5382" width="19" style="35" customWidth="1"/>
    <col min="5383" max="5395" width="20.85546875" style="35" customWidth="1"/>
    <col min="5396" max="5396" width="21.85546875" style="35" customWidth="1"/>
    <col min="5397" max="5632" width="9.140625" style="35"/>
    <col min="5633" max="5633" width="5.28515625" style="35" customWidth="1"/>
    <col min="5634" max="5634" width="57.85546875" style="35" customWidth="1"/>
    <col min="5635" max="5636" width="20.85546875" style="35" customWidth="1"/>
    <col min="5637" max="5637" width="18.42578125" style="35" customWidth="1"/>
    <col min="5638" max="5638" width="19" style="35" customWidth="1"/>
    <col min="5639" max="5651" width="20.85546875" style="35" customWidth="1"/>
    <col min="5652" max="5652" width="21.85546875" style="35" customWidth="1"/>
    <col min="5653" max="5888" width="9.140625" style="35"/>
    <col min="5889" max="5889" width="5.28515625" style="35" customWidth="1"/>
    <col min="5890" max="5890" width="57.85546875" style="35" customWidth="1"/>
    <col min="5891" max="5892" width="20.85546875" style="35" customWidth="1"/>
    <col min="5893" max="5893" width="18.42578125" style="35" customWidth="1"/>
    <col min="5894" max="5894" width="19" style="35" customWidth="1"/>
    <col min="5895" max="5907" width="20.85546875" style="35" customWidth="1"/>
    <col min="5908" max="5908" width="21.85546875" style="35" customWidth="1"/>
    <col min="5909" max="6144" width="9.140625" style="35"/>
    <col min="6145" max="6145" width="5.28515625" style="35" customWidth="1"/>
    <col min="6146" max="6146" width="57.85546875" style="35" customWidth="1"/>
    <col min="6147" max="6148" width="20.85546875" style="35" customWidth="1"/>
    <col min="6149" max="6149" width="18.42578125" style="35" customWidth="1"/>
    <col min="6150" max="6150" width="19" style="35" customWidth="1"/>
    <col min="6151" max="6163" width="20.85546875" style="35" customWidth="1"/>
    <col min="6164" max="6164" width="21.85546875" style="35" customWidth="1"/>
    <col min="6165" max="6400" width="9.140625" style="35"/>
    <col min="6401" max="6401" width="5.28515625" style="35" customWidth="1"/>
    <col min="6402" max="6402" width="57.85546875" style="35" customWidth="1"/>
    <col min="6403" max="6404" width="20.85546875" style="35" customWidth="1"/>
    <col min="6405" max="6405" width="18.42578125" style="35" customWidth="1"/>
    <col min="6406" max="6406" width="19" style="35" customWidth="1"/>
    <col min="6407" max="6419" width="20.85546875" style="35" customWidth="1"/>
    <col min="6420" max="6420" width="21.85546875" style="35" customWidth="1"/>
    <col min="6421" max="6656" width="9.140625" style="35"/>
    <col min="6657" max="6657" width="5.28515625" style="35" customWidth="1"/>
    <col min="6658" max="6658" width="57.85546875" style="35" customWidth="1"/>
    <col min="6659" max="6660" width="20.85546875" style="35" customWidth="1"/>
    <col min="6661" max="6661" width="18.42578125" style="35" customWidth="1"/>
    <col min="6662" max="6662" width="19" style="35" customWidth="1"/>
    <col min="6663" max="6675" width="20.85546875" style="35" customWidth="1"/>
    <col min="6676" max="6676" width="21.85546875" style="35" customWidth="1"/>
    <col min="6677" max="6912" width="9.140625" style="35"/>
    <col min="6913" max="6913" width="5.28515625" style="35" customWidth="1"/>
    <col min="6914" max="6914" width="57.85546875" style="35" customWidth="1"/>
    <col min="6915" max="6916" width="20.85546875" style="35" customWidth="1"/>
    <col min="6917" max="6917" width="18.42578125" style="35" customWidth="1"/>
    <col min="6918" max="6918" width="19" style="35" customWidth="1"/>
    <col min="6919" max="6931" width="20.85546875" style="35" customWidth="1"/>
    <col min="6932" max="6932" width="21.85546875" style="35" customWidth="1"/>
    <col min="6933" max="7168" width="9.140625" style="35"/>
    <col min="7169" max="7169" width="5.28515625" style="35" customWidth="1"/>
    <col min="7170" max="7170" width="57.85546875" style="35" customWidth="1"/>
    <col min="7171" max="7172" width="20.85546875" style="35" customWidth="1"/>
    <col min="7173" max="7173" width="18.42578125" style="35" customWidth="1"/>
    <col min="7174" max="7174" width="19" style="35" customWidth="1"/>
    <col min="7175" max="7187" width="20.85546875" style="35" customWidth="1"/>
    <col min="7188" max="7188" width="21.85546875" style="35" customWidth="1"/>
    <col min="7189" max="7424" width="9.140625" style="35"/>
    <col min="7425" max="7425" width="5.28515625" style="35" customWidth="1"/>
    <col min="7426" max="7426" width="57.85546875" style="35" customWidth="1"/>
    <col min="7427" max="7428" width="20.85546875" style="35" customWidth="1"/>
    <col min="7429" max="7429" width="18.42578125" style="35" customWidth="1"/>
    <col min="7430" max="7430" width="19" style="35" customWidth="1"/>
    <col min="7431" max="7443" width="20.85546875" style="35" customWidth="1"/>
    <col min="7444" max="7444" width="21.85546875" style="35" customWidth="1"/>
    <col min="7445" max="7680" width="9.140625" style="35"/>
    <col min="7681" max="7681" width="5.28515625" style="35" customWidth="1"/>
    <col min="7682" max="7682" width="57.85546875" style="35" customWidth="1"/>
    <col min="7683" max="7684" width="20.85546875" style="35" customWidth="1"/>
    <col min="7685" max="7685" width="18.42578125" style="35" customWidth="1"/>
    <col min="7686" max="7686" width="19" style="35" customWidth="1"/>
    <col min="7687" max="7699" width="20.85546875" style="35" customWidth="1"/>
    <col min="7700" max="7700" width="21.85546875" style="35" customWidth="1"/>
    <col min="7701" max="7936" width="9.140625" style="35"/>
    <col min="7937" max="7937" width="5.28515625" style="35" customWidth="1"/>
    <col min="7938" max="7938" width="57.85546875" style="35" customWidth="1"/>
    <col min="7939" max="7940" width="20.85546875" style="35" customWidth="1"/>
    <col min="7941" max="7941" width="18.42578125" style="35" customWidth="1"/>
    <col min="7942" max="7942" width="19" style="35" customWidth="1"/>
    <col min="7943" max="7955" width="20.85546875" style="35" customWidth="1"/>
    <col min="7956" max="7956" width="21.85546875" style="35" customWidth="1"/>
    <col min="7957" max="8192" width="9.140625" style="35"/>
    <col min="8193" max="8193" width="5.28515625" style="35" customWidth="1"/>
    <col min="8194" max="8194" width="57.85546875" style="35" customWidth="1"/>
    <col min="8195" max="8196" width="20.85546875" style="35" customWidth="1"/>
    <col min="8197" max="8197" width="18.42578125" style="35" customWidth="1"/>
    <col min="8198" max="8198" width="19" style="35" customWidth="1"/>
    <col min="8199" max="8211" width="20.85546875" style="35" customWidth="1"/>
    <col min="8212" max="8212" width="21.85546875" style="35" customWidth="1"/>
    <col min="8213" max="8448" width="9.140625" style="35"/>
    <col min="8449" max="8449" width="5.28515625" style="35" customWidth="1"/>
    <col min="8450" max="8450" width="57.85546875" style="35" customWidth="1"/>
    <col min="8451" max="8452" width="20.85546875" style="35" customWidth="1"/>
    <col min="8453" max="8453" width="18.42578125" style="35" customWidth="1"/>
    <col min="8454" max="8454" width="19" style="35" customWidth="1"/>
    <col min="8455" max="8467" width="20.85546875" style="35" customWidth="1"/>
    <col min="8468" max="8468" width="21.85546875" style="35" customWidth="1"/>
    <col min="8469" max="8704" width="9.140625" style="35"/>
    <col min="8705" max="8705" width="5.28515625" style="35" customWidth="1"/>
    <col min="8706" max="8706" width="57.85546875" style="35" customWidth="1"/>
    <col min="8707" max="8708" width="20.85546875" style="35" customWidth="1"/>
    <col min="8709" max="8709" width="18.42578125" style="35" customWidth="1"/>
    <col min="8710" max="8710" width="19" style="35" customWidth="1"/>
    <col min="8711" max="8723" width="20.85546875" style="35" customWidth="1"/>
    <col min="8724" max="8724" width="21.85546875" style="35" customWidth="1"/>
    <col min="8725" max="8960" width="9.140625" style="35"/>
    <col min="8961" max="8961" width="5.28515625" style="35" customWidth="1"/>
    <col min="8962" max="8962" width="57.85546875" style="35" customWidth="1"/>
    <col min="8963" max="8964" width="20.85546875" style="35" customWidth="1"/>
    <col min="8965" max="8965" width="18.42578125" style="35" customWidth="1"/>
    <col min="8966" max="8966" width="19" style="35" customWidth="1"/>
    <col min="8967" max="8979" width="20.85546875" style="35" customWidth="1"/>
    <col min="8980" max="8980" width="21.85546875" style="35" customWidth="1"/>
    <col min="8981" max="9216" width="9.140625" style="35"/>
    <col min="9217" max="9217" width="5.28515625" style="35" customWidth="1"/>
    <col min="9218" max="9218" width="57.85546875" style="35" customWidth="1"/>
    <col min="9219" max="9220" width="20.85546875" style="35" customWidth="1"/>
    <col min="9221" max="9221" width="18.42578125" style="35" customWidth="1"/>
    <col min="9222" max="9222" width="19" style="35" customWidth="1"/>
    <col min="9223" max="9235" width="20.85546875" style="35" customWidth="1"/>
    <col min="9236" max="9236" width="21.85546875" style="35" customWidth="1"/>
    <col min="9237" max="9472" width="9.140625" style="35"/>
    <col min="9473" max="9473" width="5.28515625" style="35" customWidth="1"/>
    <col min="9474" max="9474" width="57.85546875" style="35" customWidth="1"/>
    <col min="9475" max="9476" width="20.85546875" style="35" customWidth="1"/>
    <col min="9477" max="9477" width="18.42578125" style="35" customWidth="1"/>
    <col min="9478" max="9478" width="19" style="35" customWidth="1"/>
    <col min="9479" max="9491" width="20.85546875" style="35" customWidth="1"/>
    <col min="9492" max="9492" width="21.85546875" style="35" customWidth="1"/>
    <col min="9493" max="9728" width="9.140625" style="35"/>
    <col min="9729" max="9729" width="5.28515625" style="35" customWidth="1"/>
    <col min="9730" max="9730" width="57.85546875" style="35" customWidth="1"/>
    <col min="9731" max="9732" width="20.85546875" style="35" customWidth="1"/>
    <col min="9733" max="9733" width="18.42578125" style="35" customWidth="1"/>
    <col min="9734" max="9734" width="19" style="35" customWidth="1"/>
    <col min="9735" max="9747" width="20.85546875" style="35" customWidth="1"/>
    <col min="9748" max="9748" width="21.85546875" style="35" customWidth="1"/>
    <col min="9749" max="9984" width="9.140625" style="35"/>
    <col min="9985" max="9985" width="5.28515625" style="35" customWidth="1"/>
    <col min="9986" max="9986" width="57.85546875" style="35" customWidth="1"/>
    <col min="9987" max="9988" width="20.85546875" style="35" customWidth="1"/>
    <col min="9989" max="9989" width="18.42578125" style="35" customWidth="1"/>
    <col min="9990" max="9990" width="19" style="35" customWidth="1"/>
    <col min="9991" max="10003" width="20.85546875" style="35" customWidth="1"/>
    <col min="10004" max="10004" width="21.85546875" style="35" customWidth="1"/>
    <col min="10005" max="10240" width="9.140625" style="35"/>
    <col min="10241" max="10241" width="5.28515625" style="35" customWidth="1"/>
    <col min="10242" max="10242" width="57.85546875" style="35" customWidth="1"/>
    <col min="10243" max="10244" width="20.85546875" style="35" customWidth="1"/>
    <col min="10245" max="10245" width="18.42578125" style="35" customWidth="1"/>
    <col min="10246" max="10246" width="19" style="35" customWidth="1"/>
    <col min="10247" max="10259" width="20.85546875" style="35" customWidth="1"/>
    <col min="10260" max="10260" width="21.85546875" style="35" customWidth="1"/>
    <col min="10261" max="10496" width="9.140625" style="35"/>
    <col min="10497" max="10497" width="5.28515625" style="35" customWidth="1"/>
    <col min="10498" max="10498" width="57.85546875" style="35" customWidth="1"/>
    <col min="10499" max="10500" width="20.85546875" style="35" customWidth="1"/>
    <col min="10501" max="10501" width="18.42578125" style="35" customWidth="1"/>
    <col min="10502" max="10502" width="19" style="35" customWidth="1"/>
    <col min="10503" max="10515" width="20.85546875" style="35" customWidth="1"/>
    <col min="10516" max="10516" width="21.85546875" style="35" customWidth="1"/>
    <col min="10517" max="10752" width="9.140625" style="35"/>
    <col min="10753" max="10753" width="5.28515625" style="35" customWidth="1"/>
    <col min="10754" max="10754" width="57.85546875" style="35" customWidth="1"/>
    <col min="10755" max="10756" width="20.85546875" style="35" customWidth="1"/>
    <col min="10757" max="10757" width="18.42578125" style="35" customWidth="1"/>
    <col min="10758" max="10758" width="19" style="35" customWidth="1"/>
    <col min="10759" max="10771" width="20.85546875" style="35" customWidth="1"/>
    <col min="10772" max="10772" width="21.85546875" style="35" customWidth="1"/>
    <col min="10773" max="11008" width="9.140625" style="35"/>
    <col min="11009" max="11009" width="5.28515625" style="35" customWidth="1"/>
    <col min="11010" max="11010" width="57.85546875" style="35" customWidth="1"/>
    <col min="11011" max="11012" width="20.85546875" style="35" customWidth="1"/>
    <col min="11013" max="11013" width="18.42578125" style="35" customWidth="1"/>
    <col min="11014" max="11014" width="19" style="35" customWidth="1"/>
    <col min="11015" max="11027" width="20.85546875" style="35" customWidth="1"/>
    <col min="11028" max="11028" width="21.85546875" style="35" customWidth="1"/>
    <col min="11029" max="11264" width="9.140625" style="35"/>
    <col min="11265" max="11265" width="5.28515625" style="35" customWidth="1"/>
    <col min="11266" max="11266" width="57.85546875" style="35" customWidth="1"/>
    <col min="11267" max="11268" width="20.85546875" style="35" customWidth="1"/>
    <col min="11269" max="11269" width="18.42578125" style="35" customWidth="1"/>
    <col min="11270" max="11270" width="19" style="35" customWidth="1"/>
    <col min="11271" max="11283" width="20.85546875" style="35" customWidth="1"/>
    <col min="11284" max="11284" width="21.85546875" style="35" customWidth="1"/>
    <col min="11285" max="11520" width="9.140625" style="35"/>
    <col min="11521" max="11521" width="5.28515625" style="35" customWidth="1"/>
    <col min="11522" max="11522" width="57.85546875" style="35" customWidth="1"/>
    <col min="11523" max="11524" width="20.85546875" style="35" customWidth="1"/>
    <col min="11525" max="11525" width="18.42578125" style="35" customWidth="1"/>
    <col min="11526" max="11526" width="19" style="35" customWidth="1"/>
    <col min="11527" max="11539" width="20.85546875" style="35" customWidth="1"/>
    <col min="11540" max="11540" width="21.85546875" style="35" customWidth="1"/>
    <col min="11541" max="11776" width="9.140625" style="35"/>
    <col min="11777" max="11777" width="5.28515625" style="35" customWidth="1"/>
    <col min="11778" max="11778" width="57.85546875" style="35" customWidth="1"/>
    <col min="11779" max="11780" width="20.85546875" style="35" customWidth="1"/>
    <col min="11781" max="11781" width="18.42578125" style="35" customWidth="1"/>
    <col min="11782" max="11782" width="19" style="35" customWidth="1"/>
    <col min="11783" max="11795" width="20.85546875" style="35" customWidth="1"/>
    <col min="11796" max="11796" width="21.85546875" style="35" customWidth="1"/>
    <col min="11797" max="12032" width="9.140625" style="35"/>
    <col min="12033" max="12033" width="5.28515625" style="35" customWidth="1"/>
    <col min="12034" max="12034" width="57.85546875" style="35" customWidth="1"/>
    <col min="12035" max="12036" width="20.85546875" style="35" customWidth="1"/>
    <col min="12037" max="12037" width="18.42578125" style="35" customWidth="1"/>
    <col min="12038" max="12038" width="19" style="35" customWidth="1"/>
    <col min="12039" max="12051" width="20.85546875" style="35" customWidth="1"/>
    <col min="12052" max="12052" width="21.85546875" style="35" customWidth="1"/>
    <col min="12053" max="12288" width="9.140625" style="35"/>
    <col min="12289" max="12289" width="5.28515625" style="35" customWidth="1"/>
    <col min="12290" max="12290" width="57.85546875" style="35" customWidth="1"/>
    <col min="12291" max="12292" width="20.85546875" style="35" customWidth="1"/>
    <col min="12293" max="12293" width="18.42578125" style="35" customWidth="1"/>
    <col min="12294" max="12294" width="19" style="35" customWidth="1"/>
    <col min="12295" max="12307" width="20.85546875" style="35" customWidth="1"/>
    <col min="12308" max="12308" width="21.85546875" style="35" customWidth="1"/>
    <col min="12309" max="12544" width="9.140625" style="35"/>
    <col min="12545" max="12545" width="5.28515625" style="35" customWidth="1"/>
    <col min="12546" max="12546" width="57.85546875" style="35" customWidth="1"/>
    <col min="12547" max="12548" width="20.85546875" style="35" customWidth="1"/>
    <col min="12549" max="12549" width="18.42578125" style="35" customWidth="1"/>
    <col min="12550" max="12550" width="19" style="35" customWidth="1"/>
    <col min="12551" max="12563" width="20.85546875" style="35" customWidth="1"/>
    <col min="12564" max="12564" width="21.85546875" style="35" customWidth="1"/>
    <col min="12565" max="12800" width="9.140625" style="35"/>
    <col min="12801" max="12801" width="5.28515625" style="35" customWidth="1"/>
    <col min="12802" max="12802" width="57.85546875" style="35" customWidth="1"/>
    <col min="12803" max="12804" width="20.85546875" style="35" customWidth="1"/>
    <col min="12805" max="12805" width="18.42578125" style="35" customWidth="1"/>
    <col min="12806" max="12806" width="19" style="35" customWidth="1"/>
    <col min="12807" max="12819" width="20.85546875" style="35" customWidth="1"/>
    <col min="12820" max="12820" width="21.85546875" style="35" customWidth="1"/>
    <col min="12821" max="13056" width="9.140625" style="35"/>
    <col min="13057" max="13057" width="5.28515625" style="35" customWidth="1"/>
    <col min="13058" max="13058" width="57.85546875" style="35" customWidth="1"/>
    <col min="13059" max="13060" width="20.85546875" style="35" customWidth="1"/>
    <col min="13061" max="13061" width="18.42578125" style="35" customWidth="1"/>
    <col min="13062" max="13062" width="19" style="35" customWidth="1"/>
    <col min="13063" max="13075" width="20.85546875" style="35" customWidth="1"/>
    <col min="13076" max="13076" width="21.85546875" style="35" customWidth="1"/>
    <col min="13077" max="13312" width="9.140625" style="35"/>
    <col min="13313" max="13313" width="5.28515625" style="35" customWidth="1"/>
    <col min="13314" max="13314" width="57.85546875" style="35" customWidth="1"/>
    <col min="13315" max="13316" width="20.85546875" style="35" customWidth="1"/>
    <col min="13317" max="13317" width="18.42578125" style="35" customWidth="1"/>
    <col min="13318" max="13318" width="19" style="35" customWidth="1"/>
    <col min="13319" max="13331" width="20.85546875" style="35" customWidth="1"/>
    <col min="13332" max="13332" width="21.85546875" style="35" customWidth="1"/>
    <col min="13333" max="13568" width="9.140625" style="35"/>
    <col min="13569" max="13569" width="5.28515625" style="35" customWidth="1"/>
    <col min="13570" max="13570" width="57.85546875" style="35" customWidth="1"/>
    <col min="13571" max="13572" width="20.85546875" style="35" customWidth="1"/>
    <col min="13573" max="13573" width="18.42578125" style="35" customWidth="1"/>
    <col min="13574" max="13574" width="19" style="35" customWidth="1"/>
    <col min="13575" max="13587" width="20.85546875" style="35" customWidth="1"/>
    <col min="13588" max="13588" width="21.85546875" style="35" customWidth="1"/>
    <col min="13589" max="13824" width="9.140625" style="35"/>
    <col min="13825" max="13825" width="5.28515625" style="35" customWidth="1"/>
    <col min="13826" max="13826" width="57.85546875" style="35" customWidth="1"/>
    <col min="13827" max="13828" width="20.85546875" style="35" customWidth="1"/>
    <col min="13829" max="13829" width="18.42578125" style="35" customWidth="1"/>
    <col min="13830" max="13830" width="19" style="35" customWidth="1"/>
    <col min="13831" max="13843" width="20.85546875" style="35" customWidth="1"/>
    <col min="13844" max="13844" width="21.85546875" style="35" customWidth="1"/>
    <col min="13845" max="14080" width="9.140625" style="35"/>
    <col min="14081" max="14081" width="5.28515625" style="35" customWidth="1"/>
    <col min="14082" max="14082" width="57.85546875" style="35" customWidth="1"/>
    <col min="14083" max="14084" width="20.85546875" style="35" customWidth="1"/>
    <col min="14085" max="14085" width="18.42578125" style="35" customWidth="1"/>
    <col min="14086" max="14086" width="19" style="35" customWidth="1"/>
    <col min="14087" max="14099" width="20.85546875" style="35" customWidth="1"/>
    <col min="14100" max="14100" width="21.85546875" style="35" customWidth="1"/>
    <col min="14101" max="14336" width="9.140625" style="35"/>
    <col min="14337" max="14337" width="5.28515625" style="35" customWidth="1"/>
    <col min="14338" max="14338" width="57.85546875" style="35" customWidth="1"/>
    <col min="14339" max="14340" width="20.85546875" style="35" customWidth="1"/>
    <col min="14341" max="14341" width="18.42578125" style="35" customWidth="1"/>
    <col min="14342" max="14342" width="19" style="35" customWidth="1"/>
    <col min="14343" max="14355" width="20.85546875" style="35" customWidth="1"/>
    <col min="14356" max="14356" width="21.85546875" style="35" customWidth="1"/>
    <col min="14357" max="14592" width="9.140625" style="35"/>
    <col min="14593" max="14593" width="5.28515625" style="35" customWidth="1"/>
    <col min="14594" max="14594" width="57.85546875" style="35" customWidth="1"/>
    <col min="14595" max="14596" width="20.85546875" style="35" customWidth="1"/>
    <col min="14597" max="14597" width="18.42578125" style="35" customWidth="1"/>
    <col min="14598" max="14598" width="19" style="35" customWidth="1"/>
    <col min="14599" max="14611" width="20.85546875" style="35" customWidth="1"/>
    <col min="14612" max="14612" width="21.85546875" style="35" customWidth="1"/>
    <col min="14613" max="14848" width="9.140625" style="35"/>
    <col min="14849" max="14849" width="5.28515625" style="35" customWidth="1"/>
    <col min="14850" max="14850" width="57.85546875" style="35" customWidth="1"/>
    <col min="14851" max="14852" width="20.85546875" style="35" customWidth="1"/>
    <col min="14853" max="14853" width="18.42578125" style="35" customWidth="1"/>
    <col min="14854" max="14854" width="19" style="35" customWidth="1"/>
    <col min="14855" max="14867" width="20.85546875" style="35" customWidth="1"/>
    <col min="14868" max="14868" width="21.85546875" style="35" customWidth="1"/>
    <col min="14869" max="15104" width="9.140625" style="35"/>
    <col min="15105" max="15105" width="5.28515625" style="35" customWidth="1"/>
    <col min="15106" max="15106" width="57.85546875" style="35" customWidth="1"/>
    <col min="15107" max="15108" width="20.85546875" style="35" customWidth="1"/>
    <col min="15109" max="15109" width="18.42578125" style="35" customWidth="1"/>
    <col min="15110" max="15110" width="19" style="35" customWidth="1"/>
    <col min="15111" max="15123" width="20.85546875" style="35" customWidth="1"/>
    <col min="15124" max="15124" width="21.85546875" style="35" customWidth="1"/>
    <col min="15125" max="15360" width="9.140625" style="35"/>
    <col min="15361" max="15361" width="5.28515625" style="35" customWidth="1"/>
    <col min="15362" max="15362" width="57.85546875" style="35" customWidth="1"/>
    <col min="15363" max="15364" width="20.85546875" style="35" customWidth="1"/>
    <col min="15365" max="15365" width="18.42578125" style="35" customWidth="1"/>
    <col min="15366" max="15366" width="19" style="35" customWidth="1"/>
    <col min="15367" max="15379" width="20.85546875" style="35" customWidth="1"/>
    <col min="15380" max="15380" width="21.85546875" style="35" customWidth="1"/>
    <col min="15381" max="15616" width="9.140625" style="35"/>
    <col min="15617" max="15617" width="5.28515625" style="35" customWidth="1"/>
    <col min="15618" max="15618" width="57.85546875" style="35" customWidth="1"/>
    <col min="15619" max="15620" width="20.85546875" style="35" customWidth="1"/>
    <col min="15621" max="15621" width="18.42578125" style="35" customWidth="1"/>
    <col min="15622" max="15622" width="19" style="35" customWidth="1"/>
    <col min="15623" max="15635" width="20.85546875" style="35" customWidth="1"/>
    <col min="15636" max="15636" width="21.85546875" style="35" customWidth="1"/>
    <col min="15637" max="15872" width="9.140625" style="35"/>
    <col min="15873" max="15873" width="5.28515625" style="35" customWidth="1"/>
    <col min="15874" max="15874" width="57.85546875" style="35" customWidth="1"/>
    <col min="15875" max="15876" width="20.85546875" style="35" customWidth="1"/>
    <col min="15877" max="15877" width="18.42578125" style="35" customWidth="1"/>
    <col min="15878" max="15878" width="19" style="35" customWidth="1"/>
    <col min="15879" max="15891" width="20.85546875" style="35" customWidth="1"/>
    <col min="15892" max="15892" width="21.85546875" style="35" customWidth="1"/>
    <col min="15893" max="16128" width="9.140625" style="35"/>
    <col min="16129" max="16129" width="5.28515625" style="35" customWidth="1"/>
    <col min="16130" max="16130" width="57.85546875" style="35" customWidth="1"/>
    <col min="16131" max="16132" width="20.85546875" style="35" customWidth="1"/>
    <col min="16133" max="16133" width="18.42578125" style="35" customWidth="1"/>
    <col min="16134" max="16134" width="19" style="35" customWidth="1"/>
    <col min="16135" max="16147" width="20.85546875" style="35" customWidth="1"/>
    <col min="16148" max="16148" width="21.85546875" style="35" customWidth="1"/>
    <col min="16149" max="16384" width="9.140625" style="35"/>
  </cols>
  <sheetData>
    <row r="1" spans="1:20">
      <c r="A1" s="1279" t="s">
        <v>952</v>
      </c>
      <c r="B1" s="1279"/>
      <c r="C1" s="1279"/>
      <c r="D1" s="1279"/>
      <c r="E1" s="1279"/>
      <c r="F1" s="1279"/>
      <c r="G1" s="1279"/>
      <c r="H1" s="1279"/>
      <c r="I1" s="1279"/>
      <c r="J1" s="1279"/>
      <c r="K1" s="1279"/>
      <c r="L1" s="1279"/>
      <c r="M1" s="1279"/>
      <c r="N1" s="1279"/>
      <c r="O1" s="1279"/>
      <c r="P1" s="1279"/>
      <c r="Q1" s="1279"/>
      <c r="R1" s="1279"/>
      <c r="S1" s="1279"/>
      <c r="T1" s="1279"/>
    </row>
    <row r="2" spans="1:20">
      <c r="A2" s="1279" t="s">
        <v>953</v>
      </c>
      <c r="B2" s="1279"/>
      <c r="C2" s="1279"/>
      <c r="D2" s="1279"/>
      <c r="E2" s="1279"/>
      <c r="F2" s="1279"/>
      <c r="G2" s="1279"/>
      <c r="H2" s="1279"/>
      <c r="I2" s="1279"/>
      <c r="J2" s="1279"/>
      <c r="K2" s="1279"/>
      <c r="L2" s="1279"/>
      <c r="M2" s="1279"/>
      <c r="N2" s="1279"/>
      <c r="O2" s="1279"/>
      <c r="P2" s="1279"/>
      <c r="Q2" s="1279"/>
      <c r="R2" s="1279"/>
      <c r="S2" s="1279"/>
      <c r="T2" s="1279"/>
    </row>
    <row r="3" spans="1:20" ht="22.7" customHeight="1">
      <c r="A3" s="1276" t="s">
        <v>1019</v>
      </c>
      <c r="B3" s="1276"/>
      <c r="C3" s="1276"/>
      <c r="D3" s="1276"/>
      <c r="E3" s="1276"/>
      <c r="F3" s="1276"/>
      <c r="G3" s="1276"/>
      <c r="H3" s="1276"/>
      <c r="I3" s="1276"/>
      <c r="J3" s="1276"/>
      <c r="K3" s="1276"/>
      <c r="L3" s="1276"/>
      <c r="M3" s="1276"/>
      <c r="N3" s="1276"/>
      <c r="O3" s="1276"/>
      <c r="P3" s="1276"/>
      <c r="Q3" s="1276"/>
      <c r="R3" s="1276"/>
      <c r="S3" s="1276"/>
      <c r="T3" s="1276"/>
    </row>
    <row r="4" spans="1:20">
      <c r="A4" s="139"/>
      <c r="B4" s="137"/>
      <c r="C4" s="137"/>
      <c r="D4" s="137"/>
      <c r="E4" s="137"/>
      <c r="F4" s="137"/>
      <c r="G4" s="137"/>
      <c r="H4" s="137"/>
      <c r="I4" s="137"/>
      <c r="J4" s="137"/>
      <c r="K4" s="137"/>
      <c r="L4" s="137"/>
      <c r="M4" s="137"/>
      <c r="N4" s="137"/>
      <c r="O4" s="137"/>
      <c r="P4" s="137"/>
      <c r="Q4" s="137"/>
      <c r="R4" s="137"/>
      <c r="S4" s="137"/>
      <c r="T4" s="137"/>
    </row>
    <row r="5" spans="1:20">
      <c r="A5" s="140" t="s">
        <v>424</v>
      </c>
      <c r="B5" s="141" t="s">
        <v>955</v>
      </c>
      <c r="C5" s="1277" t="s">
        <v>956</v>
      </c>
      <c r="D5" s="1277"/>
      <c r="E5" s="142" t="s">
        <v>957</v>
      </c>
      <c r="F5" s="142" t="s">
        <v>958</v>
      </c>
      <c r="G5" s="142" t="s">
        <v>448</v>
      </c>
      <c r="H5" s="142" t="s">
        <v>493</v>
      </c>
      <c r="I5" s="142" t="s">
        <v>450</v>
      </c>
      <c r="J5" s="142" t="s">
        <v>451</v>
      </c>
      <c r="K5" s="142" t="s">
        <v>452</v>
      </c>
      <c r="L5" s="142" t="s">
        <v>494</v>
      </c>
      <c r="M5" s="142" t="s">
        <v>959</v>
      </c>
      <c r="N5" s="142" t="s">
        <v>960</v>
      </c>
      <c r="O5" s="142" t="s">
        <v>961</v>
      </c>
      <c r="P5" s="142" t="s">
        <v>962</v>
      </c>
      <c r="Q5" s="1278" t="s">
        <v>963</v>
      </c>
      <c r="R5" s="1278"/>
      <c r="S5" s="1278"/>
      <c r="T5" s="1278"/>
    </row>
    <row r="6" spans="1:20" ht="88.5" customHeight="1">
      <c r="A6" s="140"/>
      <c r="B6" s="141"/>
      <c r="C6" s="144" t="s">
        <v>964</v>
      </c>
      <c r="D6" s="144" t="s">
        <v>965</v>
      </c>
      <c r="E6" s="145" t="s">
        <v>966</v>
      </c>
      <c r="F6" s="145" t="s">
        <v>966</v>
      </c>
      <c r="G6" s="145" t="s">
        <v>966</v>
      </c>
      <c r="H6" s="145" t="s">
        <v>966</v>
      </c>
      <c r="I6" s="145" t="s">
        <v>966</v>
      </c>
      <c r="J6" s="145" t="s">
        <v>966</v>
      </c>
      <c r="K6" s="145" t="s">
        <v>966</v>
      </c>
      <c r="L6" s="145" t="s">
        <v>966</v>
      </c>
      <c r="M6" s="145" t="s">
        <v>966</v>
      </c>
      <c r="N6" s="145" t="s">
        <v>966</v>
      </c>
      <c r="O6" s="145" t="s">
        <v>966</v>
      </c>
      <c r="P6" s="145" t="s">
        <v>966</v>
      </c>
      <c r="Q6" s="146" t="s">
        <v>967</v>
      </c>
      <c r="R6" s="145" t="s">
        <v>968</v>
      </c>
      <c r="S6" s="143" t="s">
        <v>969</v>
      </c>
      <c r="T6" s="147" t="s">
        <v>970</v>
      </c>
    </row>
    <row r="7" spans="1:20" ht="15">
      <c r="A7" s="148"/>
      <c r="B7" s="141"/>
      <c r="C7" s="149" t="s">
        <v>971</v>
      </c>
      <c r="D7" s="149" t="s">
        <v>971</v>
      </c>
      <c r="E7" s="150" t="s">
        <v>971</v>
      </c>
      <c r="F7" s="150" t="s">
        <v>971</v>
      </c>
      <c r="G7" s="150" t="s">
        <v>971</v>
      </c>
      <c r="H7" s="150" t="s">
        <v>971</v>
      </c>
      <c r="I7" s="150" t="s">
        <v>971</v>
      </c>
      <c r="J7" s="150" t="s">
        <v>971</v>
      </c>
      <c r="K7" s="150" t="s">
        <v>971</v>
      </c>
      <c r="L7" s="150" t="s">
        <v>971</v>
      </c>
      <c r="M7" s="150" t="s">
        <v>971</v>
      </c>
      <c r="N7" s="150" t="s">
        <v>971</v>
      </c>
      <c r="O7" s="150" t="s">
        <v>971</v>
      </c>
      <c r="P7" s="150" t="s">
        <v>971</v>
      </c>
      <c r="Q7" s="150" t="s">
        <v>971</v>
      </c>
      <c r="R7" s="150" t="s">
        <v>971</v>
      </c>
      <c r="S7" s="150" t="s">
        <v>971</v>
      </c>
      <c r="T7" s="150" t="s">
        <v>972</v>
      </c>
    </row>
    <row r="8" spans="1:20" ht="45">
      <c r="A8" s="148"/>
      <c r="B8" s="151" t="s">
        <v>973</v>
      </c>
      <c r="C8" s="151" t="s">
        <v>974</v>
      </c>
      <c r="D8" s="151" t="s">
        <v>975</v>
      </c>
      <c r="E8" s="151" t="s">
        <v>976</v>
      </c>
      <c r="F8" s="151" t="s">
        <v>977</v>
      </c>
      <c r="G8" s="151" t="s">
        <v>978</v>
      </c>
      <c r="H8" s="151" t="s">
        <v>979</v>
      </c>
      <c r="I8" s="151" t="s">
        <v>980</v>
      </c>
      <c r="J8" s="151" t="s">
        <v>981</v>
      </c>
      <c r="K8" s="151" t="s">
        <v>383</v>
      </c>
      <c r="L8" s="151" t="s">
        <v>982</v>
      </c>
      <c r="M8" s="151" t="s">
        <v>983</v>
      </c>
      <c r="N8" s="151" t="s">
        <v>984</v>
      </c>
      <c r="O8" s="151" t="s">
        <v>985</v>
      </c>
      <c r="P8" s="151" t="s">
        <v>986</v>
      </c>
      <c r="Q8" s="151" t="s">
        <v>987</v>
      </c>
      <c r="R8" s="151" t="s">
        <v>988</v>
      </c>
      <c r="S8" s="151" t="s">
        <v>989</v>
      </c>
      <c r="T8" s="151" t="s">
        <v>990</v>
      </c>
    </row>
    <row r="9" spans="1:20">
      <c r="A9" s="152">
        <v>1</v>
      </c>
      <c r="B9" s="153" t="s">
        <v>991</v>
      </c>
      <c r="C9" s="165"/>
      <c r="D9" s="166"/>
      <c r="E9" s="166"/>
      <c r="F9" s="166"/>
      <c r="G9" s="166"/>
      <c r="H9" s="166"/>
      <c r="I9" s="166"/>
      <c r="J9" s="166"/>
      <c r="K9" s="166"/>
      <c r="L9" s="166"/>
      <c r="M9" s="166"/>
      <c r="N9" s="166"/>
      <c r="O9" s="166"/>
      <c r="P9" s="166"/>
      <c r="Q9" s="166"/>
      <c r="R9" s="166"/>
      <c r="S9" s="166"/>
      <c r="T9" s="155"/>
    </row>
    <row r="10" spans="1:20">
      <c r="A10" s="152">
        <v>2</v>
      </c>
      <c r="B10" s="153" t="s">
        <v>992</v>
      </c>
      <c r="C10" s="165">
        <v>11978.491</v>
      </c>
      <c r="D10" s="165">
        <f>C10/12</f>
        <v>998.20758333333333</v>
      </c>
      <c r="E10" s="166">
        <v>118.988</v>
      </c>
      <c r="F10" s="166">
        <v>147.57499999999999</v>
      </c>
      <c r="G10" s="166">
        <v>763.11800000000005</v>
      </c>
      <c r="H10" s="166">
        <v>241.94900000000001</v>
      </c>
      <c r="I10" s="166">
        <v>304.34100000000001</v>
      </c>
      <c r="J10" s="166">
        <v>599.09799999999996</v>
      </c>
      <c r="K10" s="166">
        <v>370.80500000000001</v>
      </c>
      <c r="L10" s="166">
        <v>334.58600000000001</v>
      </c>
      <c r="M10" s="166">
        <v>338.55399999999997</v>
      </c>
      <c r="N10" s="166">
        <v>249.17</v>
      </c>
      <c r="O10" s="166">
        <v>440.85300000000001</v>
      </c>
      <c r="P10" s="166">
        <v>798.52200000000005</v>
      </c>
      <c r="Q10" s="167">
        <f>D10*12</f>
        <v>11978.491</v>
      </c>
      <c r="R10" s="167">
        <f>E10+F10+G10+H10+I10+J10+K10+L10+M10+N10+O10+P10</f>
        <v>4707.5590000000002</v>
      </c>
      <c r="S10" s="167">
        <f>R10-Q10</f>
        <v>-7270.9319999999998</v>
      </c>
      <c r="T10" s="157">
        <f>R10/Q10*100%</f>
        <v>0.39300100488450507</v>
      </c>
    </row>
    <row r="11" spans="1:20">
      <c r="A11" s="152">
        <v>3</v>
      </c>
      <c r="B11" s="153" t="s">
        <v>993</v>
      </c>
      <c r="C11" s="165">
        <v>1464.377</v>
      </c>
      <c r="D11" s="166">
        <f>C11/12</f>
        <v>122.03141666666666</v>
      </c>
      <c r="E11" s="166">
        <v>153.172</v>
      </c>
      <c r="F11" s="166">
        <v>115.646</v>
      </c>
      <c r="G11" s="166">
        <v>92.480999999999995</v>
      </c>
      <c r="H11" s="166">
        <v>111.26</v>
      </c>
      <c r="I11" s="166">
        <v>89.391000000000005</v>
      </c>
      <c r="J11" s="166">
        <v>5.5220000000000002</v>
      </c>
      <c r="K11" s="166">
        <v>8.2810000000000006</v>
      </c>
      <c r="L11" s="166">
        <v>8.48</v>
      </c>
      <c r="M11" s="166">
        <v>95.438000000000002</v>
      </c>
      <c r="N11" s="166">
        <v>46.896999999999998</v>
      </c>
      <c r="O11" s="166">
        <v>40.738</v>
      </c>
      <c r="P11" s="166">
        <v>0</v>
      </c>
      <c r="Q11" s="167">
        <f>D11*12</f>
        <v>1464.377</v>
      </c>
      <c r="R11" s="167">
        <f>E11+F11+G11+H11+I11+J11+K11+L11+M11+N11+O11+P11</f>
        <v>767.30600000000004</v>
      </c>
      <c r="S11" s="167">
        <f>R11-Q11</f>
        <v>-697.07099999999991</v>
      </c>
      <c r="T11" s="157">
        <f>R11/Q11*100%</f>
        <v>0.52398118790448089</v>
      </c>
    </row>
    <row r="12" spans="1:20">
      <c r="A12" s="152">
        <v>4</v>
      </c>
      <c r="B12" s="153" t="s">
        <v>994</v>
      </c>
      <c r="C12" s="165">
        <v>6553.4639999999999</v>
      </c>
      <c r="D12" s="166">
        <f>C12/12</f>
        <v>546.12199999999996</v>
      </c>
      <c r="E12" s="166">
        <v>233.80500000000001</v>
      </c>
      <c r="F12" s="166">
        <v>469.84</v>
      </c>
      <c r="G12" s="166">
        <v>487.41199999999998</v>
      </c>
      <c r="H12" s="166">
        <v>396.81299999999999</v>
      </c>
      <c r="I12" s="166">
        <v>628.851</v>
      </c>
      <c r="J12" s="166">
        <v>486.529</v>
      </c>
      <c r="K12" s="166">
        <v>402.572</v>
      </c>
      <c r="L12" s="166">
        <v>539.39</v>
      </c>
      <c r="M12" s="166">
        <v>379.07499999999999</v>
      </c>
      <c r="N12" s="166">
        <v>434.53500000000003</v>
      </c>
      <c r="O12" s="166">
        <v>604.47199999999998</v>
      </c>
      <c r="P12" s="166">
        <v>867.22199999999998</v>
      </c>
      <c r="Q12" s="167">
        <f>D12*12</f>
        <v>6553.4639999999999</v>
      </c>
      <c r="R12" s="167">
        <f>E12+F12+G12+H12+I12+J12+K12+L12+M12+N12+O12+P12</f>
        <v>5930.5159999999996</v>
      </c>
      <c r="S12" s="167">
        <f>R12-Q12</f>
        <v>-622.94800000000032</v>
      </c>
      <c r="T12" s="157">
        <f>R12/Q12*100%</f>
        <v>0.90494370610718233</v>
      </c>
    </row>
    <row r="13" spans="1:20">
      <c r="A13" s="152">
        <v>5</v>
      </c>
      <c r="B13" s="153" t="s">
        <v>995</v>
      </c>
      <c r="C13" s="165">
        <v>766.75199999999995</v>
      </c>
      <c r="D13" s="166">
        <f>C13/12</f>
        <v>63.895999999999994</v>
      </c>
      <c r="E13" s="166">
        <v>0</v>
      </c>
      <c r="F13" s="166">
        <v>0</v>
      </c>
      <c r="G13" s="166">
        <v>0</v>
      </c>
      <c r="H13" s="166">
        <v>0</v>
      </c>
      <c r="I13" s="166">
        <v>0</v>
      </c>
      <c r="J13" s="166">
        <v>0</v>
      </c>
      <c r="K13" s="166">
        <v>0</v>
      </c>
      <c r="L13" s="166">
        <v>0</v>
      </c>
      <c r="M13" s="166">
        <v>0</v>
      </c>
      <c r="N13" s="166">
        <v>0</v>
      </c>
      <c r="O13" s="166">
        <v>0</v>
      </c>
      <c r="P13" s="166">
        <v>0</v>
      </c>
      <c r="Q13" s="167">
        <f>D13*12</f>
        <v>766.75199999999995</v>
      </c>
      <c r="R13" s="167">
        <f>E13+F13+G13+H13+I13+J13+K13+L13+M13+N13+O13+P13</f>
        <v>0</v>
      </c>
      <c r="S13" s="167">
        <f>R13-Q13</f>
        <v>-766.75199999999995</v>
      </c>
      <c r="T13" s="157">
        <f>R13/Q13*100%</f>
        <v>0</v>
      </c>
    </row>
    <row r="14" spans="1:20">
      <c r="A14" s="152">
        <v>6</v>
      </c>
      <c r="B14" s="153" t="s">
        <v>996</v>
      </c>
      <c r="C14" s="168">
        <f>SUM(C10:C13)</f>
        <v>20763.084000000003</v>
      </c>
      <c r="D14" s="168">
        <f>SUM(D10:D13)</f>
        <v>1730.2569999999998</v>
      </c>
      <c r="E14" s="168">
        <f t="shared" ref="E14:S14" si="0">SUM(E10:E13)</f>
        <v>505.96499999999997</v>
      </c>
      <c r="F14" s="168">
        <f t="shared" si="0"/>
        <v>733.06099999999992</v>
      </c>
      <c r="G14" s="168">
        <f t="shared" si="0"/>
        <v>1343.011</v>
      </c>
      <c r="H14" s="168">
        <f t="shared" si="0"/>
        <v>750.02199999999993</v>
      </c>
      <c r="I14" s="168">
        <f t="shared" si="0"/>
        <v>1022.5830000000001</v>
      </c>
      <c r="J14" s="168">
        <f t="shared" si="0"/>
        <v>1091.1489999999999</v>
      </c>
      <c r="K14" s="168">
        <f t="shared" si="0"/>
        <v>781.65800000000002</v>
      </c>
      <c r="L14" s="168">
        <f t="shared" si="0"/>
        <v>882.45600000000002</v>
      </c>
      <c r="M14" s="168">
        <f t="shared" si="0"/>
        <v>813.06700000000001</v>
      </c>
      <c r="N14" s="168">
        <f t="shared" si="0"/>
        <v>730.60200000000009</v>
      </c>
      <c r="O14" s="168">
        <f t="shared" si="0"/>
        <v>1086.0630000000001</v>
      </c>
      <c r="P14" s="168">
        <f t="shared" si="0"/>
        <v>1665.7440000000001</v>
      </c>
      <c r="Q14" s="168">
        <f t="shared" si="0"/>
        <v>20763.084000000003</v>
      </c>
      <c r="R14" s="168">
        <f t="shared" si="0"/>
        <v>11405.380999999999</v>
      </c>
      <c r="S14" s="168">
        <f t="shared" si="0"/>
        <v>-9357.7030000000013</v>
      </c>
      <c r="T14" s="157">
        <f>R14/Q14*100%</f>
        <v>0.54931054558176418</v>
      </c>
    </row>
    <row r="15" spans="1:20">
      <c r="A15" s="152">
        <v>7</v>
      </c>
      <c r="B15" s="153"/>
      <c r="C15" s="165"/>
      <c r="D15" s="165"/>
      <c r="E15" s="166"/>
      <c r="F15" s="166"/>
      <c r="G15" s="166"/>
      <c r="H15" s="166"/>
      <c r="I15" s="166"/>
      <c r="J15" s="166"/>
      <c r="K15" s="166"/>
      <c r="L15" s="166"/>
      <c r="M15" s="166"/>
      <c r="N15" s="166"/>
      <c r="O15" s="166"/>
      <c r="P15" s="166"/>
      <c r="Q15" s="167"/>
      <c r="R15" s="167"/>
      <c r="S15" s="167"/>
      <c r="T15" s="157"/>
    </row>
    <row r="16" spans="1:20">
      <c r="A16" s="152">
        <v>8</v>
      </c>
      <c r="B16" s="153" t="s">
        <v>997</v>
      </c>
      <c r="C16" s="165"/>
      <c r="D16" s="165"/>
      <c r="E16" s="166"/>
      <c r="F16" s="166"/>
      <c r="G16" s="166"/>
      <c r="H16" s="166"/>
      <c r="I16" s="166"/>
      <c r="J16" s="166"/>
      <c r="K16" s="166"/>
      <c r="L16" s="166"/>
      <c r="M16" s="166"/>
      <c r="N16" s="166"/>
      <c r="O16" s="166"/>
      <c r="P16" s="166"/>
      <c r="Q16" s="167"/>
      <c r="R16" s="167"/>
      <c r="S16" s="167"/>
      <c r="T16" s="157"/>
    </row>
    <row r="17" spans="1:20">
      <c r="A17" s="152">
        <v>9</v>
      </c>
      <c r="B17" s="153" t="s">
        <v>998</v>
      </c>
      <c r="C17" s="165">
        <v>3181.77</v>
      </c>
      <c r="D17" s="166">
        <f>C17/12</f>
        <v>265.14749999999998</v>
      </c>
      <c r="E17" s="165">
        <v>451.464</v>
      </c>
      <c r="F17" s="165">
        <v>690.58799999999997</v>
      </c>
      <c r="G17" s="165">
        <v>252.399</v>
      </c>
      <c r="H17" s="165">
        <v>254.297</v>
      </c>
      <c r="I17" s="165">
        <v>363.68</v>
      </c>
      <c r="J17" s="165">
        <v>458.87400000000002</v>
      </c>
      <c r="K17" s="165">
        <v>859.19500000000005</v>
      </c>
      <c r="L17" s="165">
        <v>756.98</v>
      </c>
      <c r="M17" s="165">
        <v>602.53899999999999</v>
      </c>
      <c r="N17" s="165">
        <v>492.52100000000002</v>
      </c>
      <c r="O17" s="165">
        <v>562.46900000000005</v>
      </c>
      <c r="P17" s="165">
        <v>515.298</v>
      </c>
      <c r="Q17" s="167">
        <f>D17*12</f>
        <v>3181.7699999999995</v>
      </c>
      <c r="R17" s="167">
        <f>E17+F17+G17+H17+I17+J17+K17+L17+M17+N17+O17+P17</f>
        <v>6260.3040000000001</v>
      </c>
      <c r="S17" s="167">
        <f>R17-Q17</f>
        <v>3078.5340000000006</v>
      </c>
      <c r="T17" s="157">
        <f>R17/Q17*100%</f>
        <v>1.9675539086734746</v>
      </c>
    </row>
    <row r="18" spans="1:20">
      <c r="A18" s="152">
        <v>10</v>
      </c>
      <c r="B18" s="153" t="s">
        <v>999</v>
      </c>
      <c r="C18" s="165">
        <v>3954.1190000000001</v>
      </c>
      <c r="D18" s="166">
        <f>C18/12</f>
        <v>329.5099166666667</v>
      </c>
      <c r="E18" s="165">
        <v>492.50599999999997</v>
      </c>
      <c r="F18" s="165">
        <v>420.733</v>
      </c>
      <c r="G18" s="165">
        <v>460.488</v>
      </c>
      <c r="H18" s="165">
        <v>549.69799999999998</v>
      </c>
      <c r="I18" s="165">
        <v>500.92</v>
      </c>
      <c r="J18" s="165">
        <v>497.66500000000002</v>
      </c>
      <c r="K18" s="165">
        <v>562.68600000000004</v>
      </c>
      <c r="L18" s="165">
        <v>625.32899999999995</v>
      </c>
      <c r="M18" s="165">
        <v>573.34100000000001</v>
      </c>
      <c r="N18" s="165">
        <v>583.67499999999995</v>
      </c>
      <c r="O18" s="165">
        <v>668.29100000000005</v>
      </c>
      <c r="P18" s="165">
        <v>628.97299999999996</v>
      </c>
      <c r="Q18" s="167">
        <f>D18*12</f>
        <v>3954.1190000000006</v>
      </c>
      <c r="R18" s="167">
        <f>E18+F18+G18+H18+I18+J18+K18+L18+M18+N18+O18+P18</f>
        <v>6564.3050000000012</v>
      </c>
      <c r="S18" s="167">
        <f>R18-Q18</f>
        <v>2610.1860000000006</v>
      </c>
      <c r="T18" s="157">
        <f>R18/Q18*100%</f>
        <v>1.6601182210247087</v>
      </c>
    </row>
    <row r="19" spans="1:20">
      <c r="A19" s="152">
        <v>11</v>
      </c>
      <c r="B19" s="153" t="s">
        <v>1000</v>
      </c>
      <c r="C19" s="165">
        <v>175.11099999999999</v>
      </c>
      <c r="D19" s="166">
        <f>C19/12</f>
        <v>14.592583333333332</v>
      </c>
      <c r="E19" s="165">
        <v>18.599</v>
      </c>
      <c r="F19" s="165">
        <v>16.585000000000001</v>
      </c>
      <c r="G19" s="165">
        <v>15.788</v>
      </c>
      <c r="H19" s="165">
        <v>15.369</v>
      </c>
      <c r="I19" s="165">
        <v>18.774999999999999</v>
      </c>
      <c r="J19" s="165">
        <v>15.776999999999999</v>
      </c>
      <c r="K19" s="165">
        <v>16.346</v>
      </c>
      <c r="L19" s="165">
        <v>19.602</v>
      </c>
      <c r="M19" s="165">
        <v>15.643000000000001</v>
      </c>
      <c r="N19" s="165">
        <v>19.213000000000001</v>
      </c>
      <c r="O19" s="165">
        <v>17.824000000000002</v>
      </c>
      <c r="P19" s="165">
        <v>15.673</v>
      </c>
      <c r="Q19" s="167">
        <f>D19*12</f>
        <v>175.11099999999999</v>
      </c>
      <c r="R19" s="167">
        <f>E19+F19+G19+H19+I19+J19+K19+L19+M19+N19+O19+P19</f>
        <v>205.19399999999999</v>
      </c>
      <c r="S19" s="167">
        <f>R19-Q19</f>
        <v>30.082999999999998</v>
      </c>
      <c r="T19" s="157">
        <f>R19/Q19*100%</f>
        <v>1.1717938907321641</v>
      </c>
    </row>
    <row r="20" spans="1:20">
      <c r="A20" s="152">
        <v>12</v>
      </c>
      <c r="B20" s="153" t="s">
        <v>1001</v>
      </c>
      <c r="C20" s="165">
        <v>3422.0459999999998</v>
      </c>
      <c r="D20" s="166">
        <f>C20/12</f>
        <v>285.1705</v>
      </c>
      <c r="E20" s="165">
        <v>205.696</v>
      </c>
      <c r="F20" s="165">
        <v>207.18799999999999</v>
      </c>
      <c r="G20" s="165">
        <v>254.46299999999999</v>
      </c>
      <c r="H20" s="165">
        <v>298.42099999999999</v>
      </c>
      <c r="I20" s="165">
        <v>286.11900000000003</v>
      </c>
      <c r="J20" s="165">
        <v>261.327</v>
      </c>
      <c r="K20" s="165">
        <v>264.005</v>
      </c>
      <c r="L20" s="165">
        <v>315.77699999999999</v>
      </c>
      <c r="M20" s="165">
        <v>273.79500000000002</v>
      </c>
      <c r="N20" s="165">
        <v>282.798</v>
      </c>
      <c r="O20" s="165">
        <v>334.20600000000002</v>
      </c>
      <c r="P20" s="165">
        <v>317.428</v>
      </c>
      <c r="Q20" s="167">
        <f>D20*12</f>
        <v>3422.0460000000003</v>
      </c>
      <c r="R20" s="167">
        <f>E20+F20+G20+H20+I20+J20+K20+L20+M20+N20+O20+P20</f>
        <v>3301.223</v>
      </c>
      <c r="S20" s="167">
        <f>R20-Q20</f>
        <v>-120.82300000000032</v>
      </c>
      <c r="T20" s="157">
        <f>R20/Q20*100%</f>
        <v>0.9646927598284768</v>
      </c>
    </row>
    <row r="21" spans="1:20">
      <c r="A21" s="152">
        <v>13</v>
      </c>
      <c r="B21" s="153" t="s">
        <v>1002</v>
      </c>
      <c r="C21" s="168">
        <f>SUM(C17:C20)</f>
        <v>10733.046</v>
      </c>
      <c r="D21" s="168">
        <f t="shared" ref="D21:S21" si="1">SUM(D17:D20)</f>
        <v>894.42049999999995</v>
      </c>
      <c r="E21" s="168">
        <f t="shared" si="1"/>
        <v>1168.2650000000001</v>
      </c>
      <c r="F21" s="168">
        <f t="shared" si="1"/>
        <v>1335.0940000000001</v>
      </c>
      <c r="G21" s="168">
        <f t="shared" si="1"/>
        <v>983.13799999999992</v>
      </c>
      <c r="H21" s="168">
        <f t="shared" si="1"/>
        <v>1117.7850000000001</v>
      </c>
      <c r="I21" s="168">
        <f t="shared" si="1"/>
        <v>1169.4940000000001</v>
      </c>
      <c r="J21" s="168">
        <f t="shared" si="1"/>
        <v>1233.643</v>
      </c>
      <c r="K21" s="168">
        <f t="shared" si="1"/>
        <v>1702.232</v>
      </c>
      <c r="L21" s="168">
        <f t="shared" si="1"/>
        <v>1717.6880000000001</v>
      </c>
      <c r="M21" s="168">
        <f t="shared" si="1"/>
        <v>1465.3180000000002</v>
      </c>
      <c r="N21" s="168">
        <f t="shared" si="1"/>
        <v>1378.2069999999999</v>
      </c>
      <c r="O21" s="168">
        <f t="shared" si="1"/>
        <v>1582.7900000000004</v>
      </c>
      <c r="P21" s="168">
        <f t="shared" si="1"/>
        <v>1477.3719999999998</v>
      </c>
      <c r="Q21" s="168">
        <f t="shared" si="1"/>
        <v>10733.046</v>
      </c>
      <c r="R21" s="168">
        <f t="shared" si="1"/>
        <v>16331.026</v>
      </c>
      <c r="S21" s="168">
        <f t="shared" si="1"/>
        <v>5597.9800000000005</v>
      </c>
      <c r="T21" s="157">
        <f>R21/Q21*100%</f>
        <v>1.5215648940664188</v>
      </c>
    </row>
    <row r="22" spans="1:20">
      <c r="A22" s="152">
        <v>14</v>
      </c>
      <c r="B22" s="153"/>
      <c r="C22" s="168"/>
      <c r="D22" s="169"/>
      <c r="E22" s="169"/>
      <c r="F22" s="169"/>
      <c r="G22" s="169"/>
      <c r="H22" s="169"/>
      <c r="I22" s="169"/>
      <c r="J22" s="169"/>
      <c r="K22" s="169"/>
      <c r="L22" s="169"/>
      <c r="M22" s="169"/>
      <c r="N22" s="169"/>
      <c r="O22" s="169"/>
      <c r="P22" s="169"/>
      <c r="Q22" s="167"/>
      <c r="R22" s="167"/>
      <c r="S22" s="167"/>
      <c r="T22" s="157"/>
    </row>
    <row r="23" spans="1:20" ht="15">
      <c r="A23" s="152">
        <v>15</v>
      </c>
      <c r="B23" s="161" t="s">
        <v>1020</v>
      </c>
      <c r="C23" s="168">
        <f t="shared" ref="C23:S23" si="2">C14+C21</f>
        <v>31496.130000000005</v>
      </c>
      <c r="D23" s="168">
        <f t="shared" si="2"/>
        <v>2624.6774999999998</v>
      </c>
      <c r="E23" s="168">
        <f t="shared" si="2"/>
        <v>1674.23</v>
      </c>
      <c r="F23" s="168">
        <f t="shared" si="2"/>
        <v>2068.1549999999997</v>
      </c>
      <c r="G23" s="168">
        <f t="shared" si="2"/>
        <v>2326.1489999999999</v>
      </c>
      <c r="H23" s="168">
        <f t="shared" si="2"/>
        <v>1867.807</v>
      </c>
      <c r="I23" s="168">
        <f t="shared" si="2"/>
        <v>2192.0770000000002</v>
      </c>
      <c r="J23" s="168">
        <f t="shared" si="2"/>
        <v>2324.7919999999999</v>
      </c>
      <c r="K23" s="168">
        <f t="shared" si="2"/>
        <v>2483.89</v>
      </c>
      <c r="L23" s="168">
        <f t="shared" si="2"/>
        <v>2600.1440000000002</v>
      </c>
      <c r="M23" s="168">
        <f t="shared" si="2"/>
        <v>2278.3850000000002</v>
      </c>
      <c r="N23" s="168">
        <f t="shared" si="2"/>
        <v>2108.8090000000002</v>
      </c>
      <c r="O23" s="168">
        <f t="shared" si="2"/>
        <v>2668.8530000000005</v>
      </c>
      <c r="P23" s="168">
        <f t="shared" si="2"/>
        <v>3143.116</v>
      </c>
      <c r="Q23" s="168">
        <f t="shared" si="2"/>
        <v>31496.130000000005</v>
      </c>
      <c r="R23" s="168">
        <f t="shared" si="2"/>
        <v>27736.406999999999</v>
      </c>
      <c r="S23" s="168">
        <f t="shared" si="2"/>
        <v>-3759.7230000000009</v>
      </c>
      <c r="T23" s="157">
        <f>R23/Q23*100%</f>
        <v>0.88062904871169867</v>
      </c>
    </row>
    <row r="24" spans="1:20" ht="15">
      <c r="A24" s="152">
        <v>16</v>
      </c>
      <c r="B24" s="161" t="s">
        <v>1003</v>
      </c>
      <c r="C24" s="168"/>
      <c r="D24" s="168"/>
      <c r="E24" s="168">
        <v>0</v>
      </c>
      <c r="F24" s="168"/>
      <c r="G24" s="168"/>
      <c r="H24" s="168"/>
      <c r="I24" s="168"/>
      <c r="J24" s="168"/>
      <c r="K24" s="168"/>
      <c r="L24" s="168">
        <v>13.647</v>
      </c>
      <c r="M24" s="168"/>
      <c r="N24" s="168">
        <v>150</v>
      </c>
      <c r="O24" s="168">
        <v>0</v>
      </c>
      <c r="P24" s="168"/>
      <c r="Q24" s="167">
        <f>D24*12</f>
        <v>0</v>
      </c>
      <c r="R24" s="167">
        <f>E24+F24+G24+H24+I24+J24+K24+L24+M24+N24+O24+P24</f>
        <v>163.64699999999999</v>
      </c>
      <c r="S24" s="167">
        <f>R24-Q24</f>
        <v>163.64699999999999</v>
      </c>
      <c r="T24" s="157"/>
    </row>
    <row r="25" spans="1:20" s="438" customFormat="1" ht="15">
      <c r="A25" s="432">
        <v>17</v>
      </c>
      <c r="B25" s="433" t="s">
        <v>1004</v>
      </c>
      <c r="C25" s="455"/>
      <c r="D25" s="455"/>
      <c r="E25" s="455">
        <f t="shared" ref="E25:M25" si="3">E23+E24</f>
        <v>1674.23</v>
      </c>
      <c r="F25" s="455">
        <f t="shared" si="3"/>
        <v>2068.1549999999997</v>
      </c>
      <c r="G25" s="455">
        <f t="shared" si="3"/>
        <v>2326.1489999999999</v>
      </c>
      <c r="H25" s="455">
        <f t="shared" si="3"/>
        <v>1867.807</v>
      </c>
      <c r="I25" s="455">
        <f t="shared" si="3"/>
        <v>2192.0770000000002</v>
      </c>
      <c r="J25" s="455">
        <f t="shared" si="3"/>
        <v>2324.7919999999999</v>
      </c>
      <c r="K25" s="455">
        <f t="shared" si="3"/>
        <v>2483.89</v>
      </c>
      <c r="L25" s="455">
        <f t="shared" si="3"/>
        <v>2613.7910000000002</v>
      </c>
      <c r="M25" s="455">
        <f t="shared" si="3"/>
        <v>2278.3850000000002</v>
      </c>
      <c r="N25" s="455">
        <f>N23+N24</f>
        <v>2258.8090000000002</v>
      </c>
      <c r="O25" s="455">
        <f>O23+O24</f>
        <v>2668.8530000000005</v>
      </c>
      <c r="P25" s="455">
        <f>P23+P24</f>
        <v>3143.116</v>
      </c>
      <c r="Q25" s="456">
        <f>D25*12</f>
        <v>0</v>
      </c>
      <c r="R25" s="456">
        <f>E25+F25+G25+H25+I25+J25+K25+L25+M25+N25+O25+P25</f>
        <v>27900.053999999996</v>
      </c>
      <c r="S25" s="456">
        <f>R25-Q25</f>
        <v>27900.053999999996</v>
      </c>
      <c r="T25" s="437"/>
    </row>
    <row r="26" spans="1:20" ht="15">
      <c r="A26" s="152">
        <v>18</v>
      </c>
      <c r="B26" s="161" t="s">
        <v>1005</v>
      </c>
      <c r="C26" s="168"/>
      <c r="D26" s="168"/>
      <c r="E26" s="168"/>
      <c r="F26" s="168"/>
      <c r="G26" s="168"/>
      <c r="H26" s="168"/>
      <c r="I26" s="168"/>
      <c r="J26" s="168"/>
      <c r="K26" s="168"/>
      <c r="L26" s="168"/>
      <c r="M26" s="168"/>
      <c r="N26" s="168"/>
      <c r="O26" s="168"/>
      <c r="P26" s="168"/>
      <c r="Q26" s="168"/>
      <c r="R26" s="168"/>
      <c r="S26" s="168"/>
      <c r="T26" s="157"/>
    </row>
    <row r="27" spans="1:20" ht="15">
      <c r="A27" s="152">
        <v>19</v>
      </c>
      <c r="B27" s="161" t="s">
        <v>1006</v>
      </c>
      <c r="C27" s="165">
        <f>D27*12</f>
        <v>628.9559999999999</v>
      </c>
      <c r="D27" s="165">
        <f>10.606+19.962+21.845</f>
        <v>52.412999999999997</v>
      </c>
      <c r="E27" s="165">
        <v>62.253999999999998</v>
      </c>
      <c r="F27" s="165">
        <v>78.412000000000006</v>
      </c>
      <c r="G27" s="165">
        <v>66.456000000000003</v>
      </c>
      <c r="H27" s="165">
        <v>69.537000000000006</v>
      </c>
      <c r="I27" s="165">
        <v>80.516999999999996</v>
      </c>
      <c r="J27" s="165">
        <v>76.647000000000006</v>
      </c>
      <c r="K27" s="165">
        <v>92.111999999999995</v>
      </c>
      <c r="L27" s="165">
        <v>99.756</v>
      </c>
      <c r="M27" s="165">
        <v>81.974999999999994</v>
      </c>
      <c r="N27" s="165">
        <v>80.992999999999995</v>
      </c>
      <c r="O27" s="165">
        <v>97.516999999999996</v>
      </c>
      <c r="P27" s="165">
        <v>103.307</v>
      </c>
      <c r="Q27" s="167">
        <f>D27*12</f>
        <v>628.9559999999999</v>
      </c>
      <c r="R27" s="167">
        <f>E27+F27+G27+H27+I27+J27+K27+L27+M27+N27+O27+P27</f>
        <v>989.48299999999995</v>
      </c>
      <c r="S27" s="167">
        <f>R27-Q27</f>
        <v>360.52700000000004</v>
      </c>
      <c r="T27" s="157">
        <f>R27/Q27*100%</f>
        <v>1.5732149784722622</v>
      </c>
    </row>
    <row r="28" spans="1:20" ht="15">
      <c r="A28" s="152">
        <v>20</v>
      </c>
      <c r="B28" s="161" t="s">
        <v>1007</v>
      </c>
      <c r="C28" s="165"/>
      <c r="D28" s="165"/>
      <c r="E28" s="165">
        <v>484.56799999999998</v>
      </c>
      <c r="F28" s="165">
        <f>639.926+200</f>
        <v>839.92600000000004</v>
      </c>
      <c r="G28" s="165">
        <f>856.937+250</f>
        <v>1106.9369999999999</v>
      </c>
      <c r="H28" s="165">
        <v>674.88</v>
      </c>
      <c r="I28" s="165">
        <v>903.47900000000004</v>
      </c>
      <c r="J28" s="165">
        <v>1104.9349999999999</v>
      </c>
      <c r="K28" s="165">
        <v>1037.4069999999999</v>
      </c>
      <c r="L28" s="165">
        <v>1155.96</v>
      </c>
      <c r="M28" s="165">
        <v>992.61699999999996</v>
      </c>
      <c r="N28" s="165">
        <v>878.94600000000003</v>
      </c>
      <c r="O28" s="165">
        <v>1159.595</v>
      </c>
      <c r="P28" s="165">
        <v>1312.317</v>
      </c>
      <c r="Q28" s="167">
        <f>D28*12</f>
        <v>0</v>
      </c>
      <c r="R28" s="167">
        <f>E28+F28+G28+H28+I28+J28+K28+L28+M28+N28+O28+P28</f>
        <v>11651.566999999999</v>
      </c>
      <c r="S28" s="167">
        <f>R28-Q28</f>
        <v>11651.566999999999</v>
      </c>
      <c r="T28" s="157"/>
    </row>
    <row r="29" spans="1:20" s="462" customFormat="1" ht="15">
      <c r="A29" s="457">
        <v>21</v>
      </c>
      <c r="B29" s="458" t="s">
        <v>1008</v>
      </c>
      <c r="C29" s="459"/>
      <c r="D29" s="459"/>
      <c r="E29" s="459">
        <f t="shared" ref="E29:M29" si="4">E25-E27-E28</f>
        <v>1127.4080000000001</v>
      </c>
      <c r="F29" s="459">
        <f t="shared" si="4"/>
        <v>1149.8169999999996</v>
      </c>
      <c r="G29" s="459">
        <f t="shared" si="4"/>
        <v>1152.7559999999999</v>
      </c>
      <c r="H29" s="459">
        <f t="shared" si="4"/>
        <v>1123.3899999999999</v>
      </c>
      <c r="I29" s="459">
        <f t="shared" si="4"/>
        <v>1208.0810000000004</v>
      </c>
      <c r="J29" s="459">
        <f t="shared" si="4"/>
        <v>1143.21</v>
      </c>
      <c r="K29" s="459">
        <f t="shared" si="4"/>
        <v>1354.3709999999999</v>
      </c>
      <c r="L29" s="459">
        <f t="shared" si="4"/>
        <v>1358.0750000000003</v>
      </c>
      <c r="M29" s="459">
        <f t="shared" si="4"/>
        <v>1203.7930000000003</v>
      </c>
      <c r="N29" s="459">
        <f>N25-N27-N28</f>
        <v>1298.8700000000003</v>
      </c>
      <c r="O29" s="459">
        <f>O25-O27-O28</f>
        <v>1411.7410000000007</v>
      </c>
      <c r="P29" s="459">
        <f>P25-P27-P28</f>
        <v>1727.4920000000002</v>
      </c>
      <c r="Q29" s="460">
        <f>D29*12</f>
        <v>0</v>
      </c>
      <c r="R29" s="460">
        <f>E29+F29+G29+H29+I29+J29+K29+L29+M29+N29+O29+P29</f>
        <v>15259.004000000001</v>
      </c>
      <c r="S29" s="460">
        <f>R29-Q29</f>
        <v>15259.004000000001</v>
      </c>
      <c r="T29" s="461"/>
    </row>
    <row r="30" spans="1:20">
      <c r="A30" s="152">
        <v>22</v>
      </c>
      <c r="B30" s="153" t="s">
        <v>1009</v>
      </c>
      <c r="C30" s="168"/>
      <c r="D30" s="169"/>
      <c r="E30" s="169"/>
      <c r="F30" s="169"/>
      <c r="G30" s="169"/>
      <c r="H30" s="169"/>
      <c r="I30" s="169"/>
      <c r="J30" s="169"/>
      <c r="K30" s="169"/>
      <c r="L30" s="169"/>
      <c r="M30" s="169"/>
      <c r="N30" s="169"/>
      <c r="O30" s="169"/>
      <c r="P30" s="169"/>
      <c r="Q30" s="167"/>
      <c r="R30" s="167"/>
      <c r="S30" s="167"/>
      <c r="T30" s="157"/>
    </row>
    <row r="31" spans="1:20" s="468" customFormat="1">
      <c r="A31" s="463">
        <v>23</v>
      </c>
      <c r="B31" s="464" t="s">
        <v>1010</v>
      </c>
      <c r="C31" s="465"/>
      <c r="D31" s="465"/>
      <c r="E31" s="465">
        <f>'[14]Sum &amp; FG'!$J$29</f>
        <v>354.31950828595399</v>
      </c>
      <c r="F31" s="465">
        <f>'[15]Sum &amp; FG'!$J$28</f>
        <v>375.72779727111998</v>
      </c>
      <c r="G31" s="465">
        <f>'[16]Sum &amp; FG'!$J$31</f>
        <v>325.29108156822082</v>
      </c>
      <c r="H31" s="465">
        <f>'[17]Sum &amp; FG'!$J$28</f>
        <v>319.44594528871301</v>
      </c>
      <c r="I31" s="465">
        <f>'[18]Sum &amp; FG'!$J$30</f>
        <v>360.35520432840718</v>
      </c>
      <c r="J31" s="465">
        <f>'[19]Sum &amp; FG'!$J$32</f>
        <v>337.69624577732691</v>
      </c>
      <c r="K31" s="465">
        <f>'[20]Sum &amp; FG'!$K$29</f>
        <v>424.32014039377799</v>
      </c>
      <c r="L31" s="465">
        <f>'[21]Sum &amp; FG'!$K$30</f>
        <v>398.01763164494741</v>
      </c>
      <c r="M31" s="465">
        <f>'[22]Sum &amp; FG'!$J$29</f>
        <v>346.22021248849461</v>
      </c>
      <c r="N31" s="465">
        <f>'[23]Sum &amp; FG'!$K$30</f>
        <v>392.22332017724824</v>
      </c>
      <c r="O31" s="465">
        <f>'[24]Sum &amp; FG'!$K$29</f>
        <v>399.87818010759941</v>
      </c>
      <c r="P31" s="465">
        <f>'[25]Sum &amp; FG'!$J$29</f>
        <v>536.83048814986</v>
      </c>
      <c r="Q31" s="466">
        <f t="shared" ref="Q31:Q39" si="5">D31*12</f>
        <v>0</v>
      </c>
      <c r="R31" s="466">
        <f t="shared" ref="R31:R39" si="6">E31+F31+G31+H31+I31+J31+K31+L31+M31+N31+O31+P31</f>
        <v>4570.3257554816691</v>
      </c>
      <c r="S31" s="466">
        <f t="shared" ref="S31:S39" si="7">R31-Q31</f>
        <v>4570.3257554816691</v>
      </c>
      <c r="T31" s="467"/>
    </row>
    <row r="32" spans="1:20" s="447" customFormat="1">
      <c r="A32" s="441">
        <v>24</v>
      </c>
      <c r="B32" s="442" t="s">
        <v>1011</v>
      </c>
      <c r="C32" s="469"/>
      <c r="D32" s="469"/>
      <c r="E32" s="469">
        <f>'[14]Sum &amp; FG'!$H8</f>
        <v>396.69215140510425</v>
      </c>
      <c r="F32" s="469">
        <f>'[15]Sum &amp; FG'!$H8</f>
        <v>379.40673867568722</v>
      </c>
      <c r="G32" s="469">
        <f>'[16]Sum &amp; FG'!$H8</f>
        <v>366.95054876876679</v>
      </c>
      <c r="H32" s="469">
        <f>'[17]Sum &amp; FG'!$H8</f>
        <v>398.68930286935438</v>
      </c>
      <c r="I32" s="469">
        <f>'[18]Sum &amp; FG'!$H8</f>
        <v>403.4022259811411</v>
      </c>
      <c r="J32" s="469">
        <f>'[19]Sum &amp; FG'!$H8</f>
        <v>388.41982935754055</v>
      </c>
      <c r="K32" s="469">
        <f>'[20]Sum &amp; FG'!$I8</f>
        <v>461.97803812620396</v>
      </c>
      <c r="L32" s="469">
        <f>'[21]Sum &amp; FG'!$I8</f>
        <v>473.47657203031122</v>
      </c>
      <c r="M32" s="469">
        <f>'[22]Sum &amp; FG'!$H8</f>
        <v>422.86096974813688</v>
      </c>
      <c r="N32" s="469">
        <f>'[23]Sum &amp; FG'!$I8</f>
        <v>453.72398064951238</v>
      </c>
      <c r="O32" s="469">
        <f>'[24]Sum &amp; FG'!$I8</f>
        <v>490.69703390234645</v>
      </c>
      <c r="P32" s="469">
        <f>'[25]Sum &amp; FG'!$H8</f>
        <v>549.79217448019995</v>
      </c>
      <c r="Q32" s="470">
        <f t="shared" si="5"/>
        <v>0</v>
      </c>
      <c r="R32" s="470">
        <f t="shared" si="6"/>
        <v>5186.0895659943053</v>
      </c>
      <c r="S32" s="470">
        <f t="shared" si="7"/>
        <v>5186.0895659943053</v>
      </c>
      <c r="T32" s="446"/>
    </row>
    <row r="33" spans="1:20" s="454" customFormat="1">
      <c r="A33" s="448">
        <v>25</v>
      </c>
      <c r="B33" s="449" t="s">
        <v>1012</v>
      </c>
      <c r="C33" s="471"/>
      <c r="D33" s="471"/>
      <c r="E33" s="471">
        <f>'[14]Sum &amp; FG'!$H9</f>
        <v>288.9280907741109</v>
      </c>
      <c r="F33" s="471">
        <f>'[15]Sum &amp; FG'!$H9</f>
        <v>278.04157677979259</v>
      </c>
      <c r="G33" s="471">
        <f>'[16]Sum &amp; FG'!$H9</f>
        <v>267.15211358938234</v>
      </c>
      <c r="H33" s="471">
        <f>'[17]Sum &amp; FG'!$H9</f>
        <v>288.68828247156273</v>
      </c>
      <c r="I33" s="471">
        <f>'[18]Sum &amp; FG'!$H9</f>
        <v>293.81728687630829</v>
      </c>
      <c r="J33" s="471">
        <f>'[19]Sum &amp; FG'!$H9</f>
        <v>282.47615004359142</v>
      </c>
      <c r="K33" s="471">
        <f>'[20]Sum &amp; FG'!$I9</f>
        <v>337.01890021695777</v>
      </c>
      <c r="L33" s="471">
        <f>'[21]Sum &amp; FG'!$I9</f>
        <v>343.70326932686481</v>
      </c>
      <c r="M33" s="471">
        <f>'[22]Sum &amp; FG'!$H9</f>
        <v>306.53319905993789</v>
      </c>
      <c r="N33" s="471">
        <f>'[23]Sum &amp; FG'!$I9</f>
        <v>329.86427158837523</v>
      </c>
      <c r="O33" s="471">
        <f>'[24]Sum &amp; FG'!$I9</f>
        <v>355.62071750531499</v>
      </c>
      <c r="P33" s="471">
        <f>'[25]Sum &amp; FG'!$H9</f>
        <v>402.55284620397998</v>
      </c>
      <c r="Q33" s="472">
        <f t="shared" si="5"/>
        <v>0</v>
      </c>
      <c r="R33" s="472">
        <f t="shared" si="6"/>
        <v>3774.3967044361793</v>
      </c>
      <c r="S33" s="472">
        <f t="shared" si="7"/>
        <v>3774.3967044361793</v>
      </c>
      <c r="T33" s="453"/>
    </row>
    <row r="34" spans="1:20" s="447" customFormat="1">
      <c r="A34" s="441">
        <v>26</v>
      </c>
      <c r="B34" s="442" t="s">
        <v>349</v>
      </c>
      <c r="C34" s="469"/>
      <c r="D34" s="469"/>
      <c r="E34" s="469">
        <f>'[14]Sum &amp; FG'!$H10</f>
        <v>57.915345733975599</v>
      </c>
      <c r="F34" s="469">
        <f>'[15]Sum &amp; FG'!$H10</f>
        <v>85.100882754648808</v>
      </c>
      <c r="G34" s="469">
        <f>'[16]Sum &amp; FG'!$H10</f>
        <v>166.2440838509477</v>
      </c>
      <c r="H34" s="469">
        <f>'[17]Sum &amp; FG'!$H10</f>
        <v>90.124129037906599</v>
      </c>
      <c r="I34" s="469">
        <f>'[18]Sum &amp; FG'!$H10</f>
        <v>120.45020701922131</v>
      </c>
      <c r="J34" s="469">
        <f>'[19]Sum &amp; FG'!$H10</f>
        <v>106.50233798183071</v>
      </c>
      <c r="K34" s="469">
        <f>'[20]Sum &amp; FG'!$I10</f>
        <v>95.597860595909097</v>
      </c>
      <c r="L34" s="469">
        <f>'[21]Sum &amp; FG'!$I10</f>
        <v>109.8163687016214</v>
      </c>
      <c r="M34" s="469">
        <f>'[22]Sum &amp; FG'!$H10</f>
        <v>99.473785340125303</v>
      </c>
      <c r="N34" s="469">
        <f>'[23]Sum &amp; FG'!$I10</f>
        <v>90.4152237322308</v>
      </c>
      <c r="O34" s="469">
        <f>'[24]Sum &amp; FG'!$I10</f>
        <v>132.40346349864919</v>
      </c>
      <c r="P34" s="469">
        <f>'[25]Sum &amp; FG'!$H10</f>
        <v>193.29083540425</v>
      </c>
      <c r="Q34" s="470">
        <f t="shared" si="5"/>
        <v>0</v>
      </c>
      <c r="R34" s="470">
        <f t="shared" si="6"/>
        <v>1347.3345236513164</v>
      </c>
      <c r="S34" s="470">
        <f t="shared" si="7"/>
        <v>1347.3345236513164</v>
      </c>
      <c r="T34" s="446"/>
    </row>
    <row r="35" spans="1:20">
      <c r="A35" s="152">
        <v>27</v>
      </c>
      <c r="B35" s="153" t="s">
        <v>1013</v>
      </c>
      <c r="C35" s="165"/>
      <c r="D35" s="165"/>
      <c r="E35" s="168">
        <f>'[14]Sum &amp; FG'!$J30</f>
        <v>5.9301607545064003</v>
      </c>
      <c r="F35" s="168">
        <f>'[15]Sum &amp; FG'!$J29</f>
        <v>6.5700736850302004</v>
      </c>
      <c r="G35" s="168">
        <f>'[16]Sum &amp; FG'!$J32</f>
        <v>5.4254902169018004</v>
      </c>
      <c r="H35" s="168">
        <f>'[17]Sum &amp; FG'!$J29</f>
        <v>5.0663346323917002</v>
      </c>
      <c r="I35" s="168">
        <f>'[18]Sum &amp; FG'!$J31</f>
        <v>6.0315024733702005</v>
      </c>
      <c r="J35" s="168">
        <f>'[19]Sum &amp; FG'!$J33</f>
        <v>5.5813657665150007</v>
      </c>
      <c r="K35" s="168">
        <f>'[20]Sum &amp; FG'!$K30</f>
        <v>7.1910725361895</v>
      </c>
      <c r="L35" s="168">
        <f>'[21]Sum &amp; FG'!$K31</f>
        <v>6.4713443595182003</v>
      </c>
      <c r="M35" s="168">
        <f>'[22]Sum &amp; FG'!$J30</f>
        <v>5.5540718545584005</v>
      </c>
      <c r="N35" s="168">
        <f>'[23]Sum &amp; FG'!$K31</f>
        <v>6.4649183194708</v>
      </c>
      <c r="O35" s="168">
        <f>'[24]Sum &amp; FG'!$K30</f>
        <v>6.3991528342145001</v>
      </c>
      <c r="P35" s="168">
        <f>'[25]Sum &amp; FG'!$J30</f>
        <v>9.3345591075099996</v>
      </c>
      <c r="Q35" s="167">
        <f t="shared" si="5"/>
        <v>0</v>
      </c>
      <c r="R35" s="167">
        <f t="shared" si="6"/>
        <v>76.020046540176708</v>
      </c>
      <c r="S35" s="167">
        <f t="shared" si="7"/>
        <v>76.020046540176708</v>
      </c>
      <c r="T35" s="157"/>
    </row>
    <row r="36" spans="1:20">
      <c r="A36" s="152">
        <v>28</v>
      </c>
      <c r="B36" s="153" t="s">
        <v>1014</v>
      </c>
      <c r="C36" s="165"/>
      <c r="D36" s="165"/>
      <c r="E36" s="168">
        <f>'[14]Sum &amp; FG'!$J31</f>
        <v>2.9650803772500001</v>
      </c>
      <c r="F36" s="168">
        <f>'[15]Sum &amp; FG'!$J30</f>
        <v>3.2850368425101002</v>
      </c>
      <c r="G36" s="168">
        <f>'[16]Sum &amp; FG'!$J33</f>
        <v>2.7127451084509002</v>
      </c>
      <c r="H36" s="168">
        <f>'[17]Sum &amp; FG'!$J30</f>
        <v>2.5331673162003998</v>
      </c>
      <c r="I36" s="168">
        <f>'[18]Sum &amp; FG'!$J32</f>
        <v>3.0157512366851003</v>
      </c>
      <c r="J36" s="168">
        <f>'[19]Sum &amp; FG'!$J34</f>
        <v>2.7906828832575004</v>
      </c>
      <c r="K36" s="168">
        <f>'[20]Sum &amp; FG'!$K31</f>
        <v>3.5955362680948002</v>
      </c>
      <c r="L36" s="168">
        <f>'[21]Sum &amp; FG'!$K32</f>
        <v>3.2356721797591002</v>
      </c>
      <c r="M36" s="168">
        <f>'[22]Sum &amp; FG'!$J31</f>
        <v>2.7770359272792002</v>
      </c>
      <c r="N36" s="168">
        <f>'[23]Sum &amp; FG'!$K32</f>
        <v>3.23245915973175</v>
      </c>
      <c r="O36" s="168">
        <f>'[24]Sum &amp; FG'!$K31</f>
        <v>3.19957641710725</v>
      </c>
      <c r="P36" s="168">
        <f>'[25]Sum &amp; FG'!$J31</f>
        <v>4.6672795537600003</v>
      </c>
      <c r="Q36" s="167">
        <f t="shared" si="5"/>
        <v>0</v>
      </c>
      <c r="R36" s="167">
        <f t="shared" si="6"/>
        <v>38.010023270086108</v>
      </c>
      <c r="S36" s="167">
        <f t="shared" si="7"/>
        <v>38.010023270086108</v>
      </c>
      <c r="T36" s="157"/>
    </row>
    <row r="37" spans="1:20">
      <c r="A37" s="152">
        <v>29</v>
      </c>
      <c r="B37" s="153" t="s">
        <v>1015</v>
      </c>
      <c r="C37" s="165"/>
      <c r="D37" s="165"/>
      <c r="E37" s="168">
        <f>'[14]Sum &amp; FG'!$J32</f>
        <v>9.9626700675600013</v>
      </c>
      <c r="F37" s="168">
        <f>'[15]Sum &amp; FG'!$J31</f>
        <v>11.037723790849899</v>
      </c>
      <c r="G37" s="168">
        <f>'[16]Sum &amp; FG'!$J34</f>
        <v>9.114823564395099</v>
      </c>
      <c r="H37" s="168">
        <f>'[17]Sum &amp; FG'!$J31</f>
        <v>8.5114421824179995</v>
      </c>
      <c r="I37" s="168">
        <f>'[18]Sum &amp; FG'!$J33</f>
        <v>10.1329241552619</v>
      </c>
      <c r="J37" s="168">
        <f>'[19]Sum &amp; FG'!$J35</f>
        <v>9.3766944877452012</v>
      </c>
      <c r="K37" s="168">
        <f>'[20]Sum &amp; FG'!$K32</f>
        <v>12.0810018607984</v>
      </c>
      <c r="L37" s="168">
        <f>'[21]Sum &amp; FG'!$K33</f>
        <v>10.8718585239905</v>
      </c>
      <c r="M37" s="168">
        <f>'[22]Sum &amp; FG'!$J32</f>
        <v>9.3308407156581996</v>
      </c>
      <c r="N37" s="168">
        <f>'[23]Sum &amp; FG'!$K33</f>
        <v>10.861062776716</v>
      </c>
      <c r="O37" s="168">
        <f>'[24]Sum &amp; FG'!$K32</f>
        <v>10.750576761480399</v>
      </c>
      <c r="P37" s="168">
        <f>'[25]Sum &amp; FG'!$J32</f>
        <v>15.682059300620001</v>
      </c>
      <c r="Q37" s="167">
        <f t="shared" si="5"/>
        <v>0</v>
      </c>
      <c r="R37" s="167">
        <f t="shared" si="6"/>
        <v>127.71367818749358</v>
      </c>
      <c r="S37" s="167">
        <f t="shared" si="7"/>
        <v>127.71367818749358</v>
      </c>
      <c r="T37" s="157"/>
    </row>
    <row r="38" spans="1:20">
      <c r="A38" s="152">
        <v>30</v>
      </c>
      <c r="B38" s="153" t="s">
        <v>1016</v>
      </c>
      <c r="C38" s="165"/>
      <c r="D38" s="165"/>
      <c r="E38" s="168">
        <f>'[14]Sum &amp; FG'!$J33</f>
        <v>10.694925875406401</v>
      </c>
      <c r="F38" s="168">
        <f>'[15]Sum &amp; FG'!$J32</f>
        <v>10.647161081270198</v>
      </c>
      <c r="G38" s="168">
        <f>'[16]Sum &amp; FG'!$J35</f>
        <v>9.8651192203648002</v>
      </c>
      <c r="H38" s="168">
        <f>'[17]Sum &amp; FG'!$J32</f>
        <v>10.3326714622337</v>
      </c>
      <c r="I38" s="168">
        <f>'[18]Sum &amp; FG'!$J34</f>
        <v>10.876312071224</v>
      </c>
      <c r="J38" s="168">
        <f>'[19]Sum &amp; FG'!$J36</f>
        <v>10.367080488045001</v>
      </c>
      <c r="K38" s="168">
        <f>'[20]Sum &amp; FG'!$K33</f>
        <v>12.587724135372101</v>
      </c>
      <c r="L38" s="168">
        <f>'[21]Sum &amp; FG'!$K34</f>
        <v>12.4825893743979</v>
      </c>
      <c r="M38" s="168">
        <f>'[22]Sum &amp; FG'!$J33</f>
        <v>11.043195250448399</v>
      </c>
      <c r="N38" s="168">
        <f>'[23]Sum &amp; FG'!$K34</f>
        <v>12.084545582535801</v>
      </c>
      <c r="O38" s="168">
        <f>'[24]Sum &amp; FG'!$K33</f>
        <v>12.7933862376613</v>
      </c>
      <c r="P38" s="168">
        <f>'[25]Sum &amp; FG'!$J33</f>
        <v>15.342014210060002</v>
      </c>
      <c r="Q38" s="167">
        <f t="shared" si="5"/>
        <v>0</v>
      </c>
      <c r="R38" s="167">
        <f t="shared" si="6"/>
        <v>139.11672498901959</v>
      </c>
      <c r="S38" s="167">
        <f t="shared" si="7"/>
        <v>139.11672498901959</v>
      </c>
      <c r="T38" s="157"/>
    </row>
    <row r="39" spans="1:20">
      <c r="A39" s="152">
        <v>31</v>
      </c>
      <c r="B39" s="153" t="s">
        <v>1021</v>
      </c>
      <c r="C39" s="168"/>
      <c r="D39" s="168"/>
      <c r="E39" s="168">
        <f>SUM(E31:E38)</f>
        <v>1127.4079332738675</v>
      </c>
      <c r="F39" s="168">
        <f t="shared" ref="F39:P39" si="8">SUM(F31:F38)</f>
        <v>1149.8169908809091</v>
      </c>
      <c r="G39" s="168">
        <f t="shared" si="8"/>
        <v>1152.7560058874301</v>
      </c>
      <c r="H39" s="168">
        <f t="shared" si="8"/>
        <v>1123.3912752607807</v>
      </c>
      <c r="I39" s="168">
        <f t="shared" si="8"/>
        <v>1208.081414141619</v>
      </c>
      <c r="J39" s="168">
        <f t="shared" si="8"/>
        <v>1143.2103867858525</v>
      </c>
      <c r="K39" s="168">
        <f t="shared" si="8"/>
        <v>1354.3702741333036</v>
      </c>
      <c r="L39" s="168">
        <f t="shared" si="8"/>
        <v>1358.0753061414107</v>
      </c>
      <c r="M39" s="168">
        <f t="shared" si="8"/>
        <v>1203.793310384639</v>
      </c>
      <c r="N39" s="168">
        <f t="shared" si="8"/>
        <v>1298.8697819858207</v>
      </c>
      <c r="O39" s="168">
        <f t="shared" si="8"/>
        <v>1411.7420872643734</v>
      </c>
      <c r="P39" s="168">
        <f t="shared" si="8"/>
        <v>1727.4922564102396</v>
      </c>
      <c r="Q39" s="167">
        <f t="shared" si="5"/>
        <v>0</v>
      </c>
      <c r="R39" s="167">
        <f t="shared" si="6"/>
        <v>15259.007022550244</v>
      </c>
      <c r="S39" s="167">
        <f t="shared" si="7"/>
        <v>15259.007022550244</v>
      </c>
      <c r="T39" s="157"/>
    </row>
    <row r="40" spans="1:20">
      <c r="A40" s="152">
        <v>32</v>
      </c>
      <c r="B40" s="163" t="s">
        <v>1017</v>
      </c>
      <c r="C40" s="168"/>
      <c r="D40" s="169"/>
      <c r="E40" s="169">
        <f>E29-E39</f>
        <v>6.672613267255656E-5</v>
      </c>
      <c r="F40" s="169">
        <f t="shared" ref="F40:P40" si="9">F29-F39</f>
        <v>9.1190904640825465E-6</v>
      </c>
      <c r="G40" s="169">
        <f t="shared" si="9"/>
        <v>-5.8874302339972928E-6</v>
      </c>
      <c r="H40" s="169">
        <f t="shared" si="9"/>
        <v>-1.2752607808579342E-3</v>
      </c>
      <c r="I40" s="169">
        <f t="shared" si="9"/>
        <v>-4.141416186485003E-4</v>
      </c>
      <c r="J40" s="169">
        <f t="shared" si="9"/>
        <v>-3.8678585246998409E-4</v>
      </c>
      <c r="K40" s="169">
        <f t="shared" si="9"/>
        <v>7.2586669625707145E-4</v>
      </c>
      <c r="L40" s="169">
        <f t="shared" si="9"/>
        <v>-3.061414104195137E-4</v>
      </c>
      <c r="M40" s="169">
        <f t="shared" si="9"/>
        <v>-3.1038463862387289E-4</v>
      </c>
      <c r="N40" s="169">
        <f t="shared" si="9"/>
        <v>2.1801417960887193E-4</v>
      </c>
      <c r="O40" s="169">
        <f t="shared" si="9"/>
        <v>-1.0872643726997921E-3</v>
      </c>
      <c r="P40" s="169">
        <f t="shared" si="9"/>
        <v>-2.5641023944444896E-4</v>
      </c>
      <c r="Q40" s="167"/>
      <c r="R40" s="167"/>
      <c r="S40" s="167"/>
      <c r="T40" s="157"/>
    </row>
    <row r="41" spans="1:20">
      <c r="E41" s="136">
        <f>SUM(E35:E38)</f>
        <v>29.552837074722802</v>
      </c>
      <c r="F41" s="136">
        <f t="shared" ref="F41:P41" si="10">SUM(F35:F38)</f>
        <v>31.539995399660398</v>
      </c>
      <c r="G41" s="136">
        <f t="shared" si="10"/>
        <v>27.118178110112598</v>
      </c>
      <c r="H41" s="136">
        <f t="shared" si="10"/>
        <v>26.443615593243798</v>
      </c>
      <c r="I41" s="136">
        <f t="shared" si="10"/>
        <v>30.056489936541201</v>
      </c>
      <c r="J41" s="136">
        <f t="shared" si="10"/>
        <v>28.115823625562705</v>
      </c>
      <c r="K41" s="136">
        <f t="shared" si="10"/>
        <v>35.4553348004548</v>
      </c>
      <c r="L41" s="136">
        <f t="shared" si="10"/>
        <v>33.061464437665705</v>
      </c>
      <c r="M41" s="136">
        <f t="shared" si="10"/>
        <v>28.705143747944199</v>
      </c>
      <c r="N41" s="136">
        <f t="shared" si="10"/>
        <v>32.642985838454351</v>
      </c>
      <c r="O41" s="136">
        <f t="shared" si="10"/>
        <v>33.142692250463448</v>
      </c>
      <c r="P41" s="136">
        <f t="shared" si="10"/>
        <v>45.025912171950004</v>
      </c>
    </row>
    <row r="43" spans="1:20">
      <c r="C43" s="35" t="s">
        <v>208</v>
      </c>
      <c r="D43" s="171">
        <f>SUM(E39:P39)</f>
        <v>15259.007022550244</v>
      </c>
    </row>
  </sheetData>
  <mergeCells count="5">
    <mergeCell ref="A1:T1"/>
    <mergeCell ref="A2:T2"/>
    <mergeCell ref="A3:T3"/>
    <mergeCell ref="C5:D5"/>
    <mergeCell ref="Q5:T5"/>
  </mergeCells>
  <pageMargins left="0.70866141732283472" right="0.70866141732283472" top="0.74803149606299213" bottom="0.74803149606299213" header="0.31496062992125984" footer="0.31496062992125984"/>
  <pageSetup paperSize="9" scale="2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C6111-D7B7-4FE7-86AF-6B39A2BEC4D9}">
  <sheetPr>
    <pageSetUpPr fitToPage="1"/>
  </sheetPr>
  <dimension ref="A1:T53"/>
  <sheetViews>
    <sheetView topLeftCell="A5" workbookViewId="0">
      <pane xSplit="2" ySplit="4" topLeftCell="I13" activePane="bottomRight" state="frozen"/>
      <selection pane="bottomRight" activeCell="E41" sqref="E41"/>
      <selection pane="bottomLeft" activeCell="D18" sqref="D18"/>
      <selection pane="topRight" activeCell="D18" sqref="D18"/>
    </sheetView>
  </sheetViews>
  <sheetFormatPr defaultColWidth="9.140625" defaultRowHeight="14.1"/>
  <cols>
    <col min="1" max="1" width="5.28515625" style="35" customWidth="1"/>
    <col min="2" max="2" width="71.140625" style="35" customWidth="1"/>
    <col min="3" max="3" width="20.7109375" style="35" customWidth="1"/>
    <col min="4" max="4" width="14.28515625" style="35" customWidth="1"/>
    <col min="5" max="5" width="18.42578125" style="35" customWidth="1"/>
    <col min="6" max="6" width="19" style="35" customWidth="1"/>
    <col min="7" max="19" width="20.7109375" style="35" customWidth="1"/>
    <col min="20" max="20" width="21.7109375" style="35" customWidth="1"/>
    <col min="21" max="256" width="9.140625" style="35"/>
    <col min="257" max="257" width="5.28515625" style="35" customWidth="1"/>
    <col min="258" max="258" width="57.85546875" style="35" customWidth="1"/>
    <col min="259" max="260" width="20.7109375" style="35" customWidth="1"/>
    <col min="261" max="261" width="18.42578125" style="35" customWidth="1"/>
    <col min="262" max="262" width="19" style="35" customWidth="1"/>
    <col min="263" max="275" width="20.7109375" style="35" customWidth="1"/>
    <col min="276" max="276" width="21.7109375" style="35" customWidth="1"/>
    <col min="277" max="512" width="9.140625" style="35"/>
    <col min="513" max="513" width="5.28515625" style="35" customWidth="1"/>
    <col min="514" max="514" width="57.85546875" style="35" customWidth="1"/>
    <col min="515" max="516" width="20.7109375" style="35" customWidth="1"/>
    <col min="517" max="517" width="18.42578125" style="35" customWidth="1"/>
    <col min="518" max="518" width="19" style="35" customWidth="1"/>
    <col min="519" max="531" width="20.7109375" style="35" customWidth="1"/>
    <col min="532" max="532" width="21.7109375" style="35" customWidth="1"/>
    <col min="533" max="768" width="9.140625" style="35"/>
    <col min="769" max="769" width="5.28515625" style="35" customWidth="1"/>
    <col min="770" max="770" width="57.85546875" style="35" customWidth="1"/>
    <col min="771" max="772" width="20.7109375" style="35" customWidth="1"/>
    <col min="773" max="773" width="18.42578125" style="35" customWidth="1"/>
    <col min="774" max="774" width="19" style="35" customWidth="1"/>
    <col min="775" max="787" width="20.7109375" style="35" customWidth="1"/>
    <col min="788" max="788" width="21.7109375" style="35" customWidth="1"/>
    <col min="789" max="1024" width="9.140625" style="35"/>
    <col min="1025" max="1025" width="5.28515625" style="35" customWidth="1"/>
    <col min="1026" max="1026" width="57.85546875" style="35" customWidth="1"/>
    <col min="1027" max="1028" width="20.7109375" style="35" customWidth="1"/>
    <col min="1029" max="1029" width="18.42578125" style="35" customWidth="1"/>
    <col min="1030" max="1030" width="19" style="35" customWidth="1"/>
    <col min="1031" max="1043" width="20.7109375" style="35" customWidth="1"/>
    <col min="1044" max="1044" width="21.7109375" style="35" customWidth="1"/>
    <col min="1045" max="1280" width="9.140625" style="35"/>
    <col min="1281" max="1281" width="5.28515625" style="35" customWidth="1"/>
    <col min="1282" max="1282" width="57.85546875" style="35" customWidth="1"/>
    <col min="1283" max="1284" width="20.7109375" style="35" customWidth="1"/>
    <col min="1285" max="1285" width="18.42578125" style="35" customWidth="1"/>
    <col min="1286" max="1286" width="19" style="35" customWidth="1"/>
    <col min="1287" max="1299" width="20.7109375" style="35" customWidth="1"/>
    <col min="1300" max="1300" width="21.7109375" style="35" customWidth="1"/>
    <col min="1301" max="1536" width="9.140625" style="35"/>
    <col min="1537" max="1537" width="5.28515625" style="35" customWidth="1"/>
    <col min="1538" max="1538" width="57.85546875" style="35" customWidth="1"/>
    <col min="1539" max="1540" width="20.7109375" style="35" customWidth="1"/>
    <col min="1541" max="1541" width="18.42578125" style="35" customWidth="1"/>
    <col min="1542" max="1542" width="19" style="35" customWidth="1"/>
    <col min="1543" max="1555" width="20.7109375" style="35" customWidth="1"/>
    <col min="1556" max="1556" width="21.7109375" style="35" customWidth="1"/>
    <col min="1557" max="1792" width="9.140625" style="35"/>
    <col min="1793" max="1793" width="5.28515625" style="35" customWidth="1"/>
    <col min="1794" max="1794" width="57.85546875" style="35" customWidth="1"/>
    <col min="1795" max="1796" width="20.7109375" style="35" customWidth="1"/>
    <col min="1797" max="1797" width="18.42578125" style="35" customWidth="1"/>
    <col min="1798" max="1798" width="19" style="35" customWidth="1"/>
    <col min="1799" max="1811" width="20.7109375" style="35" customWidth="1"/>
    <col min="1812" max="1812" width="21.7109375" style="35" customWidth="1"/>
    <col min="1813" max="2048" width="9.140625" style="35"/>
    <col min="2049" max="2049" width="5.28515625" style="35" customWidth="1"/>
    <col min="2050" max="2050" width="57.85546875" style="35" customWidth="1"/>
    <col min="2051" max="2052" width="20.7109375" style="35" customWidth="1"/>
    <col min="2053" max="2053" width="18.42578125" style="35" customWidth="1"/>
    <col min="2054" max="2054" width="19" style="35" customWidth="1"/>
    <col min="2055" max="2067" width="20.7109375" style="35" customWidth="1"/>
    <col min="2068" max="2068" width="21.7109375" style="35" customWidth="1"/>
    <col min="2069" max="2304" width="9.140625" style="35"/>
    <col min="2305" max="2305" width="5.28515625" style="35" customWidth="1"/>
    <col min="2306" max="2306" width="57.85546875" style="35" customWidth="1"/>
    <col min="2307" max="2308" width="20.7109375" style="35" customWidth="1"/>
    <col min="2309" max="2309" width="18.42578125" style="35" customWidth="1"/>
    <col min="2310" max="2310" width="19" style="35" customWidth="1"/>
    <col min="2311" max="2323" width="20.7109375" style="35" customWidth="1"/>
    <col min="2324" max="2324" width="21.7109375" style="35" customWidth="1"/>
    <col min="2325" max="2560" width="9.140625" style="35"/>
    <col min="2561" max="2561" width="5.28515625" style="35" customWidth="1"/>
    <col min="2562" max="2562" width="57.85546875" style="35" customWidth="1"/>
    <col min="2563" max="2564" width="20.7109375" style="35" customWidth="1"/>
    <col min="2565" max="2565" width="18.42578125" style="35" customWidth="1"/>
    <col min="2566" max="2566" width="19" style="35" customWidth="1"/>
    <col min="2567" max="2579" width="20.7109375" style="35" customWidth="1"/>
    <col min="2580" max="2580" width="21.7109375" style="35" customWidth="1"/>
    <col min="2581" max="2816" width="9.140625" style="35"/>
    <col min="2817" max="2817" width="5.28515625" style="35" customWidth="1"/>
    <col min="2818" max="2818" width="57.85546875" style="35" customWidth="1"/>
    <col min="2819" max="2820" width="20.7109375" style="35" customWidth="1"/>
    <col min="2821" max="2821" width="18.42578125" style="35" customWidth="1"/>
    <col min="2822" max="2822" width="19" style="35" customWidth="1"/>
    <col min="2823" max="2835" width="20.7109375" style="35" customWidth="1"/>
    <col min="2836" max="2836" width="21.7109375" style="35" customWidth="1"/>
    <col min="2837" max="3072" width="9.140625" style="35"/>
    <col min="3073" max="3073" width="5.28515625" style="35" customWidth="1"/>
    <col min="3074" max="3074" width="57.85546875" style="35" customWidth="1"/>
    <col min="3075" max="3076" width="20.7109375" style="35" customWidth="1"/>
    <col min="3077" max="3077" width="18.42578125" style="35" customWidth="1"/>
    <col min="3078" max="3078" width="19" style="35" customWidth="1"/>
    <col min="3079" max="3091" width="20.7109375" style="35" customWidth="1"/>
    <col min="3092" max="3092" width="21.7109375" style="35" customWidth="1"/>
    <col min="3093" max="3328" width="9.140625" style="35"/>
    <col min="3329" max="3329" width="5.28515625" style="35" customWidth="1"/>
    <col min="3330" max="3330" width="57.85546875" style="35" customWidth="1"/>
    <col min="3331" max="3332" width="20.7109375" style="35" customWidth="1"/>
    <col min="3333" max="3333" width="18.42578125" style="35" customWidth="1"/>
    <col min="3334" max="3334" width="19" style="35" customWidth="1"/>
    <col min="3335" max="3347" width="20.7109375" style="35" customWidth="1"/>
    <col min="3348" max="3348" width="21.7109375" style="35" customWidth="1"/>
    <col min="3349" max="3584" width="9.140625" style="35"/>
    <col min="3585" max="3585" width="5.28515625" style="35" customWidth="1"/>
    <col min="3586" max="3586" width="57.85546875" style="35" customWidth="1"/>
    <col min="3587" max="3588" width="20.7109375" style="35" customWidth="1"/>
    <col min="3589" max="3589" width="18.42578125" style="35" customWidth="1"/>
    <col min="3590" max="3590" width="19" style="35" customWidth="1"/>
    <col min="3591" max="3603" width="20.7109375" style="35" customWidth="1"/>
    <col min="3604" max="3604" width="21.7109375" style="35" customWidth="1"/>
    <col min="3605" max="3840" width="9.140625" style="35"/>
    <col min="3841" max="3841" width="5.28515625" style="35" customWidth="1"/>
    <col min="3842" max="3842" width="57.85546875" style="35" customWidth="1"/>
    <col min="3843" max="3844" width="20.7109375" style="35" customWidth="1"/>
    <col min="3845" max="3845" width="18.42578125" style="35" customWidth="1"/>
    <col min="3846" max="3846" width="19" style="35" customWidth="1"/>
    <col min="3847" max="3859" width="20.7109375" style="35" customWidth="1"/>
    <col min="3860" max="3860" width="21.7109375" style="35" customWidth="1"/>
    <col min="3861" max="4096" width="9.140625" style="35"/>
    <col min="4097" max="4097" width="5.28515625" style="35" customWidth="1"/>
    <col min="4098" max="4098" width="57.85546875" style="35" customWidth="1"/>
    <col min="4099" max="4100" width="20.7109375" style="35" customWidth="1"/>
    <col min="4101" max="4101" width="18.42578125" style="35" customWidth="1"/>
    <col min="4102" max="4102" width="19" style="35" customWidth="1"/>
    <col min="4103" max="4115" width="20.7109375" style="35" customWidth="1"/>
    <col min="4116" max="4116" width="21.7109375" style="35" customWidth="1"/>
    <col min="4117" max="4352" width="9.140625" style="35"/>
    <col min="4353" max="4353" width="5.28515625" style="35" customWidth="1"/>
    <col min="4354" max="4354" width="57.85546875" style="35" customWidth="1"/>
    <col min="4355" max="4356" width="20.7109375" style="35" customWidth="1"/>
    <col min="4357" max="4357" width="18.42578125" style="35" customWidth="1"/>
    <col min="4358" max="4358" width="19" style="35" customWidth="1"/>
    <col min="4359" max="4371" width="20.7109375" style="35" customWidth="1"/>
    <col min="4372" max="4372" width="21.7109375" style="35" customWidth="1"/>
    <col min="4373" max="4608" width="9.140625" style="35"/>
    <col min="4609" max="4609" width="5.28515625" style="35" customWidth="1"/>
    <col min="4610" max="4610" width="57.85546875" style="35" customWidth="1"/>
    <col min="4611" max="4612" width="20.7109375" style="35" customWidth="1"/>
    <col min="4613" max="4613" width="18.42578125" style="35" customWidth="1"/>
    <col min="4614" max="4614" width="19" style="35" customWidth="1"/>
    <col min="4615" max="4627" width="20.7109375" style="35" customWidth="1"/>
    <col min="4628" max="4628" width="21.7109375" style="35" customWidth="1"/>
    <col min="4629" max="4864" width="9.140625" style="35"/>
    <col min="4865" max="4865" width="5.28515625" style="35" customWidth="1"/>
    <col min="4866" max="4866" width="57.85546875" style="35" customWidth="1"/>
    <col min="4867" max="4868" width="20.7109375" style="35" customWidth="1"/>
    <col min="4869" max="4869" width="18.42578125" style="35" customWidth="1"/>
    <col min="4870" max="4870" width="19" style="35" customWidth="1"/>
    <col min="4871" max="4883" width="20.7109375" style="35" customWidth="1"/>
    <col min="4884" max="4884" width="21.7109375" style="35" customWidth="1"/>
    <col min="4885" max="5120" width="9.140625" style="35"/>
    <col min="5121" max="5121" width="5.28515625" style="35" customWidth="1"/>
    <col min="5122" max="5122" width="57.85546875" style="35" customWidth="1"/>
    <col min="5123" max="5124" width="20.7109375" style="35" customWidth="1"/>
    <col min="5125" max="5125" width="18.42578125" style="35" customWidth="1"/>
    <col min="5126" max="5126" width="19" style="35" customWidth="1"/>
    <col min="5127" max="5139" width="20.7109375" style="35" customWidth="1"/>
    <col min="5140" max="5140" width="21.7109375" style="35" customWidth="1"/>
    <col min="5141" max="5376" width="9.140625" style="35"/>
    <col min="5377" max="5377" width="5.28515625" style="35" customWidth="1"/>
    <col min="5378" max="5378" width="57.85546875" style="35" customWidth="1"/>
    <col min="5379" max="5380" width="20.7109375" style="35" customWidth="1"/>
    <col min="5381" max="5381" width="18.42578125" style="35" customWidth="1"/>
    <col min="5382" max="5382" width="19" style="35" customWidth="1"/>
    <col min="5383" max="5395" width="20.7109375" style="35" customWidth="1"/>
    <col min="5396" max="5396" width="21.7109375" style="35" customWidth="1"/>
    <col min="5397" max="5632" width="9.140625" style="35"/>
    <col min="5633" max="5633" width="5.28515625" style="35" customWidth="1"/>
    <col min="5634" max="5634" width="57.85546875" style="35" customWidth="1"/>
    <col min="5635" max="5636" width="20.7109375" style="35" customWidth="1"/>
    <col min="5637" max="5637" width="18.42578125" style="35" customWidth="1"/>
    <col min="5638" max="5638" width="19" style="35" customWidth="1"/>
    <col min="5639" max="5651" width="20.7109375" style="35" customWidth="1"/>
    <col min="5652" max="5652" width="21.7109375" style="35" customWidth="1"/>
    <col min="5653" max="5888" width="9.140625" style="35"/>
    <col min="5889" max="5889" width="5.28515625" style="35" customWidth="1"/>
    <col min="5890" max="5890" width="57.85546875" style="35" customWidth="1"/>
    <col min="5891" max="5892" width="20.7109375" style="35" customWidth="1"/>
    <col min="5893" max="5893" width="18.42578125" style="35" customWidth="1"/>
    <col min="5894" max="5894" width="19" style="35" customWidth="1"/>
    <col min="5895" max="5907" width="20.7109375" style="35" customWidth="1"/>
    <col min="5908" max="5908" width="21.7109375" style="35" customWidth="1"/>
    <col min="5909" max="6144" width="9.140625" style="35"/>
    <col min="6145" max="6145" width="5.28515625" style="35" customWidth="1"/>
    <col min="6146" max="6146" width="57.85546875" style="35" customWidth="1"/>
    <col min="6147" max="6148" width="20.7109375" style="35" customWidth="1"/>
    <col min="6149" max="6149" width="18.42578125" style="35" customWidth="1"/>
    <col min="6150" max="6150" width="19" style="35" customWidth="1"/>
    <col min="6151" max="6163" width="20.7109375" style="35" customWidth="1"/>
    <col min="6164" max="6164" width="21.7109375" style="35" customWidth="1"/>
    <col min="6165" max="6400" width="9.140625" style="35"/>
    <col min="6401" max="6401" width="5.28515625" style="35" customWidth="1"/>
    <col min="6402" max="6402" width="57.85546875" style="35" customWidth="1"/>
    <col min="6403" max="6404" width="20.7109375" style="35" customWidth="1"/>
    <col min="6405" max="6405" width="18.42578125" style="35" customWidth="1"/>
    <col min="6406" max="6406" width="19" style="35" customWidth="1"/>
    <col min="6407" max="6419" width="20.7109375" style="35" customWidth="1"/>
    <col min="6420" max="6420" width="21.7109375" style="35" customWidth="1"/>
    <col min="6421" max="6656" width="9.140625" style="35"/>
    <col min="6657" max="6657" width="5.28515625" style="35" customWidth="1"/>
    <col min="6658" max="6658" width="57.85546875" style="35" customWidth="1"/>
    <col min="6659" max="6660" width="20.7109375" style="35" customWidth="1"/>
    <col min="6661" max="6661" width="18.42578125" style="35" customWidth="1"/>
    <col min="6662" max="6662" width="19" style="35" customWidth="1"/>
    <col min="6663" max="6675" width="20.7109375" style="35" customWidth="1"/>
    <col min="6676" max="6676" width="21.7109375" style="35" customWidth="1"/>
    <col min="6677" max="6912" width="9.140625" style="35"/>
    <col min="6913" max="6913" width="5.28515625" style="35" customWidth="1"/>
    <col min="6914" max="6914" width="57.85546875" style="35" customWidth="1"/>
    <col min="6915" max="6916" width="20.7109375" style="35" customWidth="1"/>
    <col min="6917" max="6917" width="18.42578125" style="35" customWidth="1"/>
    <col min="6918" max="6918" width="19" style="35" customWidth="1"/>
    <col min="6919" max="6931" width="20.7109375" style="35" customWidth="1"/>
    <col min="6932" max="6932" width="21.7109375" style="35" customWidth="1"/>
    <col min="6933" max="7168" width="9.140625" style="35"/>
    <col min="7169" max="7169" width="5.28515625" style="35" customWidth="1"/>
    <col min="7170" max="7170" width="57.85546875" style="35" customWidth="1"/>
    <col min="7171" max="7172" width="20.7109375" style="35" customWidth="1"/>
    <col min="7173" max="7173" width="18.42578125" style="35" customWidth="1"/>
    <col min="7174" max="7174" width="19" style="35" customWidth="1"/>
    <col min="7175" max="7187" width="20.7109375" style="35" customWidth="1"/>
    <col min="7188" max="7188" width="21.7109375" style="35" customWidth="1"/>
    <col min="7189" max="7424" width="9.140625" style="35"/>
    <col min="7425" max="7425" width="5.28515625" style="35" customWidth="1"/>
    <col min="7426" max="7426" width="57.85546875" style="35" customWidth="1"/>
    <col min="7427" max="7428" width="20.7109375" style="35" customWidth="1"/>
    <col min="7429" max="7429" width="18.42578125" style="35" customWidth="1"/>
    <col min="7430" max="7430" width="19" style="35" customWidth="1"/>
    <col min="7431" max="7443" width="20.7109375" style="35" customWidth="1"/>
    <col min="7444" max="7444" width="21.7109375" style="35" customWidth="1"/>
    <col min="7445" max="7680" width="9.140625" style="35"/>
    <col min="7681" max="7681" width="5.28515625" style="35" customWidth="1"/>
    <col min="7682" max="7682" width="57.85546875" style="35" customWidth="1"/>
    <col min="7683" max="7684" width="20.7109375" style="35" customWidth="1"/>
    <col min="7685" max="7685" width="18.42578125" style="35" customWidth="1"/>
    <col min="7686" max="7686" width="19" style="35" customWidth="1"/>
    <col min="7687" max="7699" width="20.7109375" style="35" customWidth="1"/>
    <col min="7700" max="7700" width="21.7109375" style="35" customWidth="1"/>
    <col min="7701" max="7936" width="9.140625" style="35"/>
    <col min="7937" max="7937" width="5.28515625" style="35" customWidth="1"/>
    <col min="7938" max="7938" width="57.85546875" style="35" customWidth="1"/>
    <col min="7939" max="7940" width="20.7109375" style="35" customWidth="1"/>
    <col min="7941" max="7941" width="18.42578125" style="35" customWidth="1"/>
    <col min="7942" max="7942" width="19" style="35" customWidth="1"/>
    <col min="7943" max="7955" width="20.7109375" style="35" customWidth="1"/>
    <col min="7956" max="7956" width="21.7109375" style="35" customWidth="1"/>
    <col min="7957" max="8192" width="9.140625" style="35"/>
    <col min="8193" max="8193" width="5.28515625" style="35" customWidth="1"/>
    <col min="8194" max="8194" width="57.85546875" style="35" customWidth="1"/>
    <col min="8195" max="8196" width="20.7109375" style="35" customWidth="1"/>
    <col min="8197" max="8197" width="18.42578125" style="35" customWidth="1"/>
    <col min="8198" max="8198" width="19" style="35" customWidth="1"/>
    <col min="8199" max="8211" width="20.7109375" style="35" customWidth="1"/>
    <col min="8212" max="8212" width="21.7109375" style="35" customWidth="1"/>
    <col min="8213" max="8448" width="9.140625" style="35"/>
    <col min="8449" max="8449" width="5.28515625" style="35" customWidth="1"/>
    <col min="8450" max="8450" width="57.85546875" style="35" customWidth="1"/>
    <col min="8451" max="8452" width="20.7109375" style="35" customWidth="1"/>
    <col min="8453" max="8453" width="18.42578125" style="35" customWidth="1"/>
    <col min="8454" max="8454" width="19" style="35" customWidth="1"/>
    <col min="8455" max="8467" width="20.7109375" style="35" customWidth="1"/>
    <col min="8468" max="8468" width="21.7109375" style="35" customWidth="1"/>
    <col min="8469" max="8704" width="9.140625" style="35"/>
    <col min="8705" max="8705" width="5.28515625" style="35" customWidth="1"/>
    <col min="8706" max="8706" width="57.85546875" style="35" customWidth="1"/>
    <col min="8707" max="8708" width="20.7109375" style="35" customWidth="1"/>
    <col min="8709" max="8709" width="18.42578125" style="35" customWidth="1"/>
    <col min="8710" max="8710" width="19" style="35" customWidth="1"/>
    <col min="8711" max="8723" width="20.7109375" style="35" customWidth="1"/>
    <col min="8724" max="8724" width="21.7109375" style="35" customWidth="1"/>
    <col min="8725" max="8960" width="9.140625" style="35"/>
    <col min="8961" max="8961" width="5.28515625" style="35" customWidth="1"/>
    <col min="8962" max="8962" width="57.85546875" style="35" customWidth="1"/>
    <col min="8963" max="8964" width="20.7109375" style="35" customWidth="1"/>
    <col min="8965" max="8965" width="18.42578125" style="35" customWidth="1"/>
    <col min="8966" max="8966" width="19" style="35" customWidth="1"/>
    <col min="8967" max="8979" width="20.7109375" style="35" customWidth="1"/>
    <col min="8980" max="8980" width="21.7109375" style="35" customWidth="1"/>
    <col min="8981" max="9216" width="9.140625" style="35"/>
    <col min="9217" max="9217" width="5.28515625" style="35" customWidth="1"/>
    <col min="9218" max="9218" width="57.85546875" style="35" customWidth="1"/>
    <col min="9219" max="9220" width="20.7109375" style="35" customWidth="1"/>
    <col min="9221" max="9221" width="18.42578125" style="35" customWidth="1"/>
    <col min="9222" max="9222" width="19" style="35" customWidth="1"/>
    <col min="9223" max="9235" width="20.7109375" style="35" customWidth="1"/>
    <col min="9236" max="9236" width="21.7109375" style="35" customWidth="1"/>
    <col min="9237" max="9472" width="9.140625" style="35"/>
    <col min="9473" max="9473" width="5.28515625" style="35" customWidth="1"/>
    <col min="9474" max="9474" width="57.85546875" style="35" customWidth="1"/>
    <col min="9475" max="9476" width="20.7109375" style="35" customWidth="1"/>
    <col min="9477" max="9477" width="18.42578125" style="35" customWidth="1"/>
    <col min="9478" max="9478" width="19" style="35" customWidth="1"/>
    <col min="9479" max="9491" width="20.7109375" style="35" customWidth="1"/>
    <col min="9492" max="9492" width="21.7109375" style="35" customWidth="1"/>
    <col min="9493" max="9728" width="9.140625" style="35"/>
    <col min="9729" max="9729" width="5.28515625" style="35" customWidth="1"/>
    <col min="9730" max="9730" width="57.85546875" style="35" customWidth="1"/>
    <col min="9731" max="9732" width="20.7109375" style="35" customWidth="1"/>
    <col min="9733" max="9733" width="18.42578125" style="35" customWidth="1"/>
    <col min="9734" max="9734" width="19" style="35" customWidth="1"/>
    <col min="9735" max="9747" width="20.7109375" style="35" customWidth="1"/>
    <col min="9748" max="9748" width="21.7109375" style="35" customWidth="1"/>
    <col min="9749" max="9984" width="9.140625" style="35"/>
    <col min="9985" max="9985" width="5.28515625" style="35" customWidth="1"/>
    <col min="9986" max="9986" width="57.85546875" style="35" customWidth="1"/>
    <col min="9987" max="9988" width="20.7109375" style="35" customWidth="1"/>
    <col min="9989" max="9989" width="18.42578125" style="35" customWidth="1"/>
    <col min="9990" max="9990" width="19" style="35" customWidth="1"/>
    <col min="9991" max="10003" width="20.7109375" style="35" customWidth="1"/>
    <col min="10004" max="10004" width="21.7109375" style="35" customWidth="1"/>
    <col min="10005" max="10240" width="9.140625" style="35"/>
    <col min="10241" max="10241" width="5.28515625" style="35" customWidth="1"/>
    <col min="10242" max="10242" width="57.85546875" style="35" customWidth="1"/>
    <col min="10243" max="10244" width="20.7109375" style="35" customWidth="1"/>
    <col min="10245" max="10245" width="18.42578125" style="35" customWidth="1"/>
    <col min="10246" max="10246" width="19" style="35" customWidth="1"/>
    <col min="10247" max="10259" width="20.7109375" style="35" customWidth="1"/>
    <col min="10260" max="10260" width="21.7109375" style="35" customWidth="1"/>
    <col min="10261" max="10496" width="9.140625" style="35"/>
    <col min="10497" max="10497" width="5.28515625" style="35" customWidth="1"/>
    <col min="10498" max="10498" width="57.85546875" style="35" customWidth="1"/>
    <col min="10499" max="10500" width="20.7109375" style="35" customWidth="1"/>
    <col min="10501" max="10501" width="18.42578125" style="35" customWidth="1"/>
    <col min="10502" max="10502" width="19" style="35" customWidth="1"/>
    <col min="10503" max="10515" width="20.7109375" style="35" customWidth="1"/>
    <col min="10516" max="10516" width="21.7109375" style="35" customWidth="1"/>
    <col min="10517" max="10752" width="9.140625" style="35"/>
    <col min="10753" max="10753" width="5.28515625" style="35" customWidth="1"/>
    <col min="10754" max="10754" width="57.85546875" style="35" customWidth="1"/>
    <col min="10755" max="10756" width="20.7109375" style="35" customWidth="1"/>
    <col min="10757" max="10757" width="18.42578125" style="35" customWidth="1"/>
    <col min="10758" max="10758" width="19" style="35" customWidth="1"/>
    <col min="10759" max="10771" width="20.7109375" style="35" customWidth="1"/>
    <col min="10772" max="10772" width="21.7109375" style="35" customWidth="1"/>
    <col min="10773" max="11008" width="9.140625" style="35"/>
    <col min="11009" max="11009" width="5.28515625" style="35" customWidth="1"/>
    <col min="11010" max="11010" width="57.85546875" style="35" customWidth="1"/>
    <col min="11011" max="11012" width="20.7109375" style="35" customWidth="1"/>
    <col min="11013" max="11013" width="18.42578125" style="35" customWidth="1"/>
    <col min="11014" max="11014" width="19" style="35" customWidth="1"/>
    <col min="11015" max="11027" width="20.7109375" style="35" customWidth="1"/>
    <col min="11028" max="11028" width="21.7109375" style="35" customWidth="1"/>
    <col min="11029" max="11264" width="9.140625" style="35"/>
    <col min="11265" max="11265" width="5.28515625" style="35" customWidth="1"/>
    <col min="11266" max="11266" width="57.85546875" style="35" customWidth="1"/>
    <col min="11267" max="11268" width="20.7109375" style="35" customWidth="1"/>
    <col min="11269" max="11269" width="18.42578125" style="35" customWidth="1"/>
    <col min="11270" max="11270" width="19" style="35" customWidth="1"/>
    <col min="11271" max="11283" width="20.7109375" style="35" customWidth="1"/>
    <col min="11284" max="11284" width="21.7109375" style="35" customWidth="1"/>
    <col min="11285" max="11520" width="9.140625" style="35"/>
    <col min="11521" max="11521" width="5.28515625" style="35" customWidth="1"/>
    <col min="11522" max="11522" width="57.85546875" style="35" customWidth="1"/>
    <col min="11523" max="11524" width="20.7109375" style="35" customWidth="1"/>
    <col min="11525" max="11525" width="18.42578125" style="35" customWidth="1"/>
    <col min="11526" max="11526" width="19" style="35" customWidth="1"/>
    <col min="11527" max="11539" width="20.7109375" style="35" customWidth="1"/>
    <col min="11540" max="11540" width="21.7109375" style="35" customWidth="1"/>
    <col min="11541" max="11776" width="9.140625" style="35"/>
    <col min="11777" max="11777" width="5.28515625" style="35" customWidth="1"/>
    <col min="11778" max="11778" width="57.85546875" style="35" customWidth="1"/>
    <col min="11779" max="11780" width="20.7109375" style="35" customWidth="1"/>
    <col min="11781" max="11781" width="18.42578125" style="35" customWidth="1"/>
    <col min="11782" max="11782" width="19" style="35" customWidth="1"/>
    <col min="11783" max="11795" width="20.7109375" style="35" customWidth="1"/>
    <col min="11796" max="11796" width="21.7109375" style="35" customWidth="1"/>
    <col min="11797" max="12032" width="9.140625" style="35"/>
    <col min="12033" max="12033" width="5.28515625" style="35" customWidth="1"/>
    <col min="12034" max="12034" width="57.85546875" style="35" customWidth="1"/>
    <col min="12035" max="12036" width="20.7109375" style="35" customWidth="1"/>
    <col min="12037" max="12037" width="18.42578125" style="35" customWidth="1"/>
    <col min="12038" max="12038" width="19" style="35" customWidth="1"/>
    <col min="12039" max="12051" width="20.7109375" style="35" customWidth="1"/>
    <col min="12052" max="12052" width="21.7109375" style="35" customWidth="1"/>
    <col min="12053" max="12288" width="9.140625" style="35"/>
    <col min="12289" max="12289" width="5.28515625" style="35" customWidth="1"/>
    <col min="12290" max="12290" width="57.85546875" style="35" customWidth="1"/>
    <col min="12291" max="12292" width="20.7109375" style="35" customWidth="1"/>
    <col min="12293" max="12293" width="18.42578125" style="35" customWidth="1"/>
    <col min="12294" max="12294" width="19" style="35" customWidth="1"/>
    <col min="12295" max="12307" width="20.7109375" style="35" customWidth="1"/>
    <col min="12308" max="12308" width="21.7109375" style="35" customWidth="1"/>
    <col min="12309" max="12544" width="9.140625" style="35"/>
    <col min="12545" max="12545" width="5.28515625" style="35" customWidth="1"/>
    <col min="12546" max="12546" width="57.85546875" style="35" customWidth="1"/>
    <col min="12547" max="12548" width="20.7109375" style="35" customWidth="1"/>
    <col min="12549" max="12549" width="18.42578125" style="35" customWidth="1"/>
    <col min="12550" max="12550" width="19" style="35" customWidth="1"/>
    <col min="12551" max="12563" width="20.7109375" style="35" customWidth="1"/>
    <col min="12564" max="12564" width="21.7109375" style="35" customWidth="1"/>
    <col min="12565" max="12800" width="9.140625" style="35"/>
    <col min="12801" max="12801" width="5.28515625" style="35" customWidth="1"/>
    <col min="12802" max="12802" width="57.85546875" style="35" customWidth="1"/>
    <col min="12803" max="12804" width="20.7109375" style="35" customWidth="1"/>
    <col min="12805" max="12805" width="18.42578125" style="35" customWidth="1"/>
    <col min="12806" max="12806" width="19" style="35" customWidth="1"/>
    <col min="12807" max="12819" width="20.7109375" style="35" customWidth="1"/>
    <col min="12820" max="12820" width="21.7109375" style="35" customWidth="1"/>
    <col min="12821" max="13056" width="9.140625" style="35"/>
    <col min="13057" max="13057" width="5.28515625" style="35" customWidth="1"/>
    <col min="13058" max="13058" width="57.85546875" style="35" customWidth="1"/>
    <col min="13059" max="13060" width="20.7109375" style="35" customWidth="1"/>
    <col min="13061" max="13061" width="18.42578125" style="35" customWidth="1"/>
    <col min="13062" max="13062" width="19" style="35" customWidth="1"/>
    <col min="13063" max="13075" width="20.7109375" style="35" customWidth="1"/>
    <col min="13076" max="13076" width="21.7109375" style="35" customWidth="1"/>
    <col min="13077" max="13312" width="9.140625" style="35"/>
    <col min="13313" max="13313" width="5.28515625" style="35" customWidth="1"/>
    <col min="13314" max="13314" width="57.85546875" style="35" customWidth="1"/>
    <col min="13315" max="13316" width="20.7109375" style="35" customWidth="1"/>
    <col min="13317" max="13317" width="18.42578125" style="35" customWidth="1"/>
    <col min="13318" max="13318" width="19" style="35" customWidth="1"/>
    <col min="13319" max="13331" width="20.7109375" style="35" customWidth="1"/>
    <col min="13332" max="13332" width="21.7109375" style="35" customWidth="1"/>
    <col min="13333" max="13568" width="9.140625" style="35"/>
    <col min="13569" max="13569" width="5.28515625" style="35" customWidth="1"/>
    <col min="13570" max="13570" width="57.85546875" style="35" customWidth="1"/>
    <col min="13571" max="13572" width="20.7109375" style="35" customWidth="1"/>
    <col min="13573" max="13573" width="18.42578125" style="35" customWidth="1"/>
    <col min="13574" max="13574" width="19" style="35" customWidth="1"/>
    <col min="13575" max="13587" width="20.7109375" style="35" customWidth="1"/>
    <col min="13588" max="13588" width="21.7109375" style="35" customWidth="1"/>
    <col min="13589" max="13824" width="9.140625" style="35"/>
    <col min="13825" max="13825" width="5.28515625" style="35" customWidth="1"/>
    <col min="13826" max="13826" width="57.85546875" style="35" customWidth="1"/>
    <col min="13827" max="13828" width="20.7109375" style="35" customWidth="1"/>
    <col min="13829" max="13829" width="18.42578125" style="35" customWidth="1"/>
    <col min="13830" max="13830" width="19" style="35" customWidth="1"/>
    <col min="13831" max="13843" width="20.7109375" style="35" customWidth="1"/>
    <col min="13844" max="13844" width="21.7109375" style="35" customWidth="1"/>
    <col min="13845" max="14080" width="9.140625" style="35"/>
    <col min="14081" max="14081" width="5.28515625" style="35" customWidth="1"/>
    <col min="14082" max="14082" width="57.85546875" style="35" customWidth="1"/>
    <col min="14083" max="14084" width="20.7109375" style="35" customWidth="1"/>
    <col min="14085" max="14085" width="18.42578125" style="35" customWidth="1"/>
    <col min="14086" max="14086" width="19" style="35" customWidth="1"/>
    <col min="14087" max="14099" width="20.7109375" style="35" customWidth="1"/>
    <col min="14100" max="14100" width="21.7109375" style="35" customWidth="1"/>
    <col min="14101" max="14336" width="9.140625" style="35"/>
    <col min="14337" max="14337" width="5.28515625" style="35" customWidth="1"/>
    <col min="14338" max="14338" width="57.85546875" style="35" customWidth="1"/>
    <col min="14339" max="14340" width="20.7109375" style="35" customWidth="1"/>
    <col min="14341" max="14341" width="18.42578125" style="35" customWidth="1"/>
    <col min="14342" max="14342" width="19" style="35" customWidth="1"/>
    <col min="14343" max="14355" width="20.7109375" style="35" customWidth="1"/>
    <col min="14356" max="14356" width="21.7109375" style="35" customWidth="1"/>
    <col min="14357" max="14592" width="9.140625" style="35"/>
    <col min="14593" max="14593" width="5.28515625" style="35" customWidth="1"/>
    <col min="14594" max="14594" width="57.85546875" style="35" customWidth="1"/>
    <col min="14595" max="14596" width="20.7109375" style="35" customWidth="1"/>
    <col min="14597" max="14597" width="18.42578125" style="35" customWidth="1"/>
    <col min="14598" max="14598" width="19" style="35" customWidth="1"/>
    <col min="14599" max="14611" width="20.7109375" style="35" customWidth="1"/>
    <col min="14612" max="14612" width="21.7109375" style="35" customWidth="1"/>
    <col min="14613" max="14848" width="9.140625" style="35"/>
    <col min="14849" max="14849" width="5.28515625" style="35" customWidth="1"/>
    <col min="14850" max="14850" width="57.85546875" style="35" customWidth="1"/>
    <col min="14851" max="14852" width="20.7109375" style="35" customWidth="1"/>
    <col min="14853" max="14853" width="18.42578125" style="35" customWidth="1"/>
    <col min="14854" max="14854" width="19" style="35" customWidth="1"/>
    <col min="14855" max="14867" width="20.7109375" style="35" customWidth="1"/>
    <col min="14868" max="14868" width="21.7109375" style="35" customWidth="1"/>
    <col min="14869" max="15104" width="9.140625" style="35"/>
    <col min="15105" max="15105" width="5.28515625" style="35" customWidth="1"/>
    <col min="15106" max="15106" width="57.85546875" style="35" customWidth="1"/>
    <col min="15107" max="15108" width="20.7109375" style="35" customWidth="1"/>
    <col min="15109" max="15109" width="18.42578125" style="35" customWidth="1"/>
    <col min="15110" max="15110" width="19" style="35" customWidth="1"/>
    <col min="15111" max="15123" width="20.7109375" style="35" customWidth="1"/>
    <col min="15124" max="15124" width="21.7109375" style="35" customWidth="1"/>
    <col min="15125" max="15360" width="9.140625" style="35"/>
    <col min="15361" max="15361" width="5.28515625" style="35" customWidth="1"/>
    <col min="15362" max="15362" width="57.85546875" style="35" customWidth="1"/>
    <col min="15363" max="15364" width="20.7109375" style="35" customWidth="1"/>
    <col min="15365" max="15365" width="18.42578125" style="35" customWidth="1"/>
    <col min="15366" max="15366" width="19" style="35" customWidth="1"/>
    <col min="15367" max="15379" width="20.7109375" style="35" customWidth="1"/>
    <col min="15380" max="15380" width="21.7109375" style="35" customWidth="1"/>
    <col min="15381" max="15616" width="9.140625" style="35"/>
    <col min="15617" max="15617" width="5.28515625" style="35" customWidth="1"/>
    <col min="15618" max="15618" width="57.85546875" style="35" customWidth="1"/>
    <col min="15619" max="15620" width="20.7109375" style="35" customWidth="1"/>
    <col min="15621" max="15621" width="18.42578125" style="35" customWidth="1"/>
    <col min="15622" max="15622" width="19" style="35" customWidth="1"/>
    <col min="15623" max="15635" width="20.7109375" style="35" customWidth="1"/>
    <col min="15636" max="15636" width="21.7109375" style="35" customWidth="1"/>
    <col min="15637" max="15872" width="9.140625" style="35"/>
    <col min="15873" max="15873" width="5.28515625" style="35" customWidth="1"/>
    <col min="15874" max="15874" width="57.85546875" style="35" customWidth="1"/>
    <col min="15875" max="15876" width="20.7109375" style="35" customWidth="1"/>
    <col min="15877" max="15877" width="18.42578125" style="35" customWidth="1"/>
    <col min="15878" max="15878" width="19" style="35" customWidth="1"/>
    <col min="15879" max="15891" width="20.7109375" style="35" customWidth="1"/>
    <col min="15892" max="15892" width="21.7109375" style="35" customWidth="1"/>
    <col min="15893" max="16128" width="9.140625" style="35"/>
    <col min="16129" max="16129" width="5.28515625" style="35" customWidth="1"/>
    <col min="16130" max="16130" width="57.85546875" style="35" customWidth="1"/>
    <col min="16131" max="16132" width="20.7109375" style="35" customWidth="1"/>
    <col min="16133" max="16133" width="18.42578125" style="35" customWidth="1"/>
    <col min="16134" max="16134" width="19" style="35" customWidth="1"/>
    <col min="16135" max="16147" width="20.7109375" style="35" customWidth="1"/>
    <col min="16148" max="16148" width="21.7109375" style="35" customWidth="1"/>
    <col min="16149" max="16384" width="9.140625" style="35"/>
  </cols>
  <sheetData>
    <row r="1" spans="1:20">
      <c r="A1" s="1279" t="s">
        <v>952</v>
      </c>
      <c r="B1" s="1279"/>
      <c r="C1" s="1279"/>
      <c r="D1" s="1279"/>
      <c r="E1" s="1279"/>
      <c r="F1" s="1279"/>
      <c r="G1" s="1279"/>
      <c r="H1" s="1279"/>
      <c r="I1" s="1279"/>
      <c r="J1" s="1279"/>
      <c r="K1" s="1279"/>
      <c r="L1" s="1279"/>
      <c r="M1" s="1279"/>
      <c r="N1" s="1279"/>
      <c r="O1" s="1279"/>
      <c r="P1" s="1279"/>
      <c r="Q1" s="1279"/>
      <c r="R1" s="1279"/>
      <c r="S1" s="1279"/>
      <c r="T1" s="1279"/>
    </row>
    <row r="2" spans="1:20">
      <c r="A2" s="1279" t="s">
        <v>953</v>
      </c>
      <c r="B2" s="1279"/>
      <c r="C2" s="1279"/>
      <c r="D2" s="1279"/>
      <c r="E2" s="1279"/>
      <c r="F2" s="1279"/>
      <c r="G2" s="1279"/>
      <c r="H2" s="1279"/>
      <c r="I2" s="1279"/>
      <c r="J2" s="1279"/>
      <c r="K2" s="1279"/>
      <c r="L2" s="1279"/>
      <c r="M2" s="1279"/>
      <c r="N2" s="1279"/>
      <c r="O2" s="1279"/>
      <c r="P2" s="1279"/>
      <c r="Q2" s="1279"/>
      <c r="R2" s="1279"/>
      <c r="S2" s="1279"/>
      <c r="T2" s="1279"/>
    </row>
    <row r="3" spans="1:20" ht="23.25" customHeight="1">
      <c r="A3" s="1276" t="s">
        <v>1022</v>
      </c>
      <c r="B3" s="1276"/>
      <c r="C3" s="1276"/>
      <c r="D3" s="1276"/>
      <c r="E3" s="1276"/>
      <c r="F3" s="1276"/>
      <c r="G3" s="1276"/>
      <c r="H3" s="1276"/>
      <c r="I3" s="1276"/>
      <c r="J3" s="1276"/>
      <c r="K3" s="1276"/>
      <c r="L3" s="1276"/>
      <c r="M3" s="1276"/>
      <c r="N3" s="1276"/>
      <c r="O3" s="1276"/>
      <c r="P3" s="1276"/>
      <c r="Q3" s="1276"/>
      <c r="R3" s="1276"/>
      <c r="S3" s="1276"/>
      <c r="T3" s="1276"/>
    </row>
    <row r="4" spans="1:20">
      <c r="A4" s="139"/>
      <c r="B4" s="137"/>
      <c r="C4" s="137"/>
      <c r="D4" s="137"/>
      <c r="E4" s="137"/>
      <c r="F4" s="137"/>
      <c r="G4" s="137"/>
      <c r="H4" s="137"/>
      <c r="I4" s="137"/>
      <c r="J4" s="137"/>
      <c r="K4" s="137"/>
      <c r="L4" s="137"/>
      <c r="M4" s="137"/>
      <c r="N4" s="137"/>
      <c r="O4" s="137"/>
      <c r="P4" s="137"/>
      <c r="Q4" s="137"/>
      <c r="R4" s="137"/>
      <c r="S4" s="137"/>
      <c r="T4" s="137"/>
    </row>
    <row r="5" spans="1:20">
      <c r="A5" s="140" t="s">
        <v>424</v>
      </c>
      <c r="B5" s="141" t="s">
        <v>955</v>
      </c>
      <c r="C5" s="1277" t="s">
        <v>956</v>
      </c>
      <c r="D5" s="1277"/>
      <c r="E5" s="142" t="s">
        <v>957</v>
      </c>
      <c r="F5" s="142" t="s">
        <v>958</v>
      </c>
      <c r="G5" s="142" t="s">
        <v>448</v>
      </c>
      <c r="H5" s="142" t="s">
        <v>493</v>
      </c>
      <c r="I5" s="142" t="s">
        <v>450</v>
      </c>
      <c r="J5" s="142" t="s">
        <v>451</v>
      </c>
      <c r="K5" s="142" t="s">
        <v>452</v>
      </c>
      <c r="L5" s="142" t="s">
        <v>494</v>
      </c>
      <c r="M5" s="142" t="s">
        <v>959</v>
      </c>
      <c r="N5" s="142" t="s">
        <v>960</v>
      </c>
      <c r="O5" s="142" t="s">
        <v>961</v>
      </c>
      <c r="P5" s="142" t="s">
        <v>962</v>
      </c>
      <c r="Q5" s="1278" t="s">
        <v>963</v>
      </c>
      <c r="R5" s="1278"/>
      <c r="S5" s="1278"/>
      <c r="T5" s="1278"/>
    </row>
    <row r="6" spans="1:20" ht="88.5" customHeight="1">
      <c r="A6" s="140"/>
      <c r="B6" s="141"/>
      <c r="C6" s="144" t="s">
        <v>964</v>
      </c>
      <c r="D6" s="144" t="s">
        <v>965</v>
      </c>
      <c r="E6" s="145" t="s">
        <v>966</v>
      </c>
      <c r="F6" s="145" t="s">
        <v>966</v>
      </c>
      <c r="G6" s="145" t="s">
        <v>966</v>
      </c>
      <c r="H6" s="145" t="s">
        <v>966</v>
      </c>
      <c r="I6" s="145" t="s">
        <v>966</v>
      </c>
      <c r="J6" s="145" t="s">
        <v>966</v>
      </c>
      <c r="K6" s="145" t="s">
        <v>966</v>
      </c>
      <c r="L6" s="145" t="s">
        <v>966</v>
      </c>
      <c r="M6" s="145" t="s">
        <v>966</v>
      </c>
      <c r="N6" s="145" t="s">
        <v>966</v>
      </c>
      <c r="O6" s="145" t="s">
        <v>966</v>
      </c>
      <c r="P6" s="145" t="s">
        <v>966</v>
      </c>
      <c r="Q6" s="146" t="s">
        <v>967</v>
      </c>
      <c r="R6" s="145" t="s">
        <v>968</v>
      </c>
      <c r="S6" s="143" t="s">
        <v>969</v>
      </c>
      <c r="T6" s="147" t="s">
        <v>970</v>
      </c>
    </row>
    <row r="7" spans="1:20" ht="15">
      <c r="A7" s="148"/>
      <c r="B7" s="141"/>
      <c r="C7" s="149" t="s">
        <v>971</v>
      </c>
      <c r="D7" s="149" t="s">
        <v>971</v>
      </c>
      <c r="E7" s="150" t="s">
        <v>971</v>
      </c>
      <c r="F7" s="150" t="s">
        <v>971</v>
      </c>
      <c r="G7" s="150" t="s">
        <v>971</v>
      </c>
      <c r="H7" s="150" t="s">
        <v>971</v>
      </c>
      <c r="I7" s="150" t="s">
        <v>971</v>
      </c>
      <c r="J7" s="150" t="s">
        <v>971</v>
      </c>
      <c r="K7" s="150" t="s">
        <v>971</v>
      </c>
      <c r="L7" s="150" t="s">
        <v>971</v>
      </c>
      <c r="M7" s="150" t="s">
        <v>971</v>
      </c>
      <c r="N7" s="150" t="s">
        <v>971</v>
      </c>
      <c r="O7" s="150" t="s">
        <v>971</v>
      </c>
      <c r="P7" s="150" t="s">
        <v>971</v>
      </c>
      <c r="Q7" s="150" t="s">
        <v>971</v>
      </c>
      <c r="R7" s="150" t="s">
        <v>971</v>
      </c>
      <c r="S7" s="150" t="s">
        <v>971</v>
      </c>
      <c r="T7" s="150" t="s">
        <v>972</v>
      </c>
    </row>
    <row r="8" spans="1:20" ht="45">
      <c r="A8" s="148"/>
      <c r="B8" s="151" t="s">
        <v>973</v>
      </c>
      <c r="C8" s="151" t="s">
        <v>974</v>
      </c>
      <c r="D8" s="151" t="s">
        <v>975</v>
      </c>
      <c r="E8" s="151" t="s">
        <v>976</v>
      </c>
      <c r="F8" s="151" t="s">
        <v>977</v>
      </c>
      <c r="G8" s="151" t="s">
        <v>978</v>
      </c>
      <c r="H8" s="151" t="s">
        <v>979</v>
      </c>
      <c r="I8" s="151" t="s">
        <v>980</v>
      </c>
      <c r="J8" s="151" t="s">
        <v>981</v>
      </c>
      <c r="K8" s="151" t="s">
        <v>383</v>
      </c>
      <c r="L8" s="151" t="s">
        <v>982</v>
      </c>
      <c r="M8" s="151" t="s">
        <v>983</v>
      </c>
      <c r="N8" s="151" t="s">
        <v>984</v>
      </c>
      <c r="O8" s="151" t="s">
        <v>985</v>
      </c>
      <c r="P8" s="151" t="s">
        <v>986</v>
      </c>
      <c r="Q8" s="151" t="s">
        <v>987</v>
      </c>
      <c r="R8" s="151" t="s">
        <v>988</v>
      </c>
      <c r="S8" s="151" t="s">
        <v>989</v>
      </c>
      <c r="T8" s="151" t="s">
        <v>990</v>
      </c>
    </row>
    <row r="9" spans="1:20">
      <c r="A9" s="152">
        <v>1</v>
      </c>
      <c r="B9" s="153" t="s">
        <v>991</v>
      </c>
      <c r="C9" s="154"/>
      <c r="D9" s="155"/>
      <c r="E9" s="155"/>
      <c r="F9" s="155"/>
      <c r="G9" s="155"/>
      <c r="H9" s="155"/>
      <c r="I9" s="155"/>
      <c r="J9" s="155"/>
      <c r="K9" s="155"/>
      <c r="L9" s="155"/>
      <c r="M9" s="155"/>
      <c r="N9" s="155"/>
      <c r="O9" s="155"/>
      <c r="P9" s="155"/>
      <c r="Q9" s="155"/>
      <c r="R9" s="155"/>
      <c r="S9" s="155"/>
      <c r="T9" s="155"/>
    </row>
    <row r="10" spans="1:20">
      <c r="A10" s="152">
        <v>2</v>
      </c>
      <c r="B10" s="153" t="s">
        <v>992</v>
      </c>
      <c r="C10" s="154"/>
      <c r="D10" s="154">
        <f>C10/12</f>
        <v>0</v>
      </c>
      <c r="E10" s="155">
        <v>479.29700000000003</v>
      </c>
      <c r="F10" s="155">
        <v>179.48</v>
      </c>
      <c r="G10" s="155">
        <v>148.376</v>
      </c>
      <c r="H10" s="155">
        <v>195.37700000000001</v>
      </c>
      <c r="I10" s="155">
        <v>97.578000000000003</v>
      </c>
      <c r="J10" s="155">
        <v>145.73599999999999</v>
      </c>
      <c r="K10" s="155">
        <f>222.077-73.066</f>
        <v>149.011</v>
      </c>
      <c r="L10" s="155">
        <v>100.998</v>
      </c>
      <c r="M10" s="155">
        <v>72.254000000000005</v>
      </c>
      <c r="N10" s="155">
        <v>104.994</v>
      </c>
      <c r="O10" s="155">
        <v>72.87</v>
      </c>
      <c r="P10" s="155">
        <v>81.394999999999996</v>
      </c>
      <c r="Q10" s="156">
        <f>D10*12</f>
        <v>0</v>
      </c>
      <c r="R10" s="156">
        <f>E10+F10+G10+H10+I10+J10+K10+L10+M10+N10+O10+P10</f>
        <v>1827.366</v>
      </c>
      <c r="S10" s="156">
        <f>R10-Q10</f>
        <v>1827.366</v>
      </c>
      <c r="T10" s="157" t="e">
        <f>R10/Q10*100%</f>
        <v>#DIV/0!</v>
      </c>
    </row>
    <row r="11" spans="1:20">
      <c r="A11" s="152">
        <v>3</v>
      </c>
      <c r="B11" s="153" t="s">
        <v>993</v>
      </c>
      <c r="C11" s="154"/>
      <c r="D11" s="155">
        <f>C11/12</f>
        <v>0</v>
      </c>
      <c r="E11" s="155">
        <v>0</v>
      </c>
      <c r="F11" s="155">
        <v>0</v>
      </c>
      <c r="G11" s="155">
        <v>0</v>
      </c>
      <c r="H11" s="155">
        <v>0</v>
      </c>
      <c r="I11" s="155">
        <v>0</v>
      </c>
      <c r="J11" s="155">
        <v>0</v>
      </c>
      <c r="K11" s="155">
        <v>0</v>
      </c>
      <c r="L11" s="155">
        <v>149.82900000000001</v>
      </c>
      <c r="M11" s="155">
        <v>112.748</v>
      </c>
      <c r="N11" s="155">
        <v>257.75799999999998</v>
      </c>
      <c r="O11" s="155">
        <v>34.414999999999999</v>
      </c>
      <c r="P11" s="155">
        <v>166.72</v>
      </c>
      <c r="Q11" s="156">
        <f>D11*12</f>
        <v>0</v>
      </c>
      <c r="R11" s="156">
        <f>E11+F11+G11+H11+I11+J11+K11+L11+M11+N11+O11+P11</f>
        <v>721.47</v>
      </c>
      <c r="S11" s="156">
        <f>R11-Q11</f>
        <v>721.47</v>
      </c>
      <c r="T11" s="157" t="e">
        <f>R11/Q11*100%</f>
        <v>#DIV/0!</v>
      </c>
    </row>
    <row r="12" spans="1:20">
      <c r="A12" s="152">
        <v>4</v>
      </c>
      <c r="B12" s="153" t="s">
        <v>994</v>
      </c>
      <c r="C12" s="154"/>
      <c r="D12" s="155">
        <f>C12/12</f>
        <v>0</v>
      </c>
      <c r="E12" s="155">
        <v>317.11</v>
      </c>
      <c r="F12" s="155">
        <v>128.59100000000001</v>
      </c>
      <c r="G12" s="155">
        <v>110.52500000000001</v>
      </c>
      <c r="H12" s="155">
        <v>153.26400000000001</v>
      </c>
      <c r="I12" s="155">
        <v>125.17400000000001</v>
      </c>
      <c r="J12" s="155">
        <v>92.332999999999998</v>
      </c>
      <c r="K12" s="155">
        <v>213.624</v>
      </c>
      <c r="L12" s="155">
        <v>184.50399999999999</v>
      </c>
      <c r="M12" s="155">
        <v>147.80699999999999</v>
      </c>
      <c r="N12" s="155">
        <v>326.35399999999998</v>
      </c>
      <c r="O12" s="155">
        <v>312.94400000000002</v>
      </c>
      <c r="P12" s="155">
        <v>363.548</v>
      </c>
      <c r="Q12" s="156">
        <f>D12*12</f>
        <v>0</v>
      </c>
      <c r="R12" s="156">
        <f>E12+F12+G12+H12+I12+J12+K12+L12+M12+N12+O12+P12</f>
        <v>2475.7780000000002</v>
      </c>
      <c r="S12" s="156">
        <f>R12-Q12</f>
        <v>2475.7780000000002</v>
      </c>
      <c r="T12" s="157" t="e">
        <f>R12/Q12*100%</f>
        <v>#DIV/0!</v>
      </c>
    </row>
    <row r="13" spans="1:20">
      <c r="A13" s="152">
        <v>5</v>
      </c>
      <c r="B13" s="153" t="s">
        <v>995</v>
      </c>
      <c r="C13" s="154"/>
      <c r="D13" s="155">
        <f>C13/12</f>
        <v>0</v>
      </c>
      <c r="E13" s="155">
        <v>0</v>
      </c>
      <c r="F13" s="155">
        <v>0</v>
      </c>
      <c r="G13" s="155">
        <v>0</v>
      </c>
      <c r="H13" s="155">
        <v>0</v>
      </c>
      <c r="I13" s="155">
        <v>0</v>
      </c>
      <c r="J13" s="155">
        <v>0</v>
      </c>
      <c r="K13" s="155">
        <v>0</v>
      </c>
      <c r="L13" s="155">
        <v>0</v>
      </c>
      <c r="M13" s="155">
        <v>0</v>
      </c>
      <c r="N13" s="155">
        <v>0</v>
      </c>
      <c r="O13" s="155">
        <v>0</v>
      </c>
      <c r="P13" s="155">
        <v>0</v>
      </c>
      <c r="Q13" s="156">
        <f>D13*12</f>
        <v>0</v>
      </c>
      <c r="R13" s="156">
        <f>E13+F13+G13+H13+I13+J13+K13+L13+M13+N13+O13+P13</f>
        <v>0</v>
      </c>
      <c r="S13" s="156">
        <f>R13-Q13</f>
        <v>0</v>
      </c>
      <c r="T13" s="157" t="e">
        <f>R13/Q13*100%</f>
        <v>#DIV/0!</v>
      </c>
    </row>
    <row r="14" spans="1:20">
      <c r="A14" s="152">
        <v>6</v>
      </c>
      <c r="B14" s="153" t="s">
        <v>996</v>
      </c>
      <c r="C14" s="158">
        <f>SUM(C10:C13)</f>
        <v>0</v>
      </c>
      <c r="D14" s="158">
        <f>SUM(D10:D13)</f>
        <v>0</v>
      </c>
      <c r="E14" s="158">
        <f t="shared" ref="E14:S14" si="0">SUM(E10:E13)</f>
        <v>796.40700000000004</v>
      </c>
      <c r="F14" s="158">
        <f t="shared" si="0"/>
        <v>308.07100000000003</v>
      </c>
      <c r="G14" s="158">
        <f t="shared" si="0"/>
        <v>258.90100000000001</v>
      </c>
      <c r="H14" s="158">
        <f t="shared" si="0"/>
        <v>348.64100000000002</v>
      </c>
      <c r="I14" s="158">
        <f t="shared" si="0"/>
        <v>222.75200000000001</v>
      </c>
      <c r="J14" s="158">
        <f t="shared" si="0"/>
        <v>238.06899999999999</v>
      </c>
      <c r="K14" s="158">
        <f t="shared" si="0"/>
        <v>362.63499999999999</v>
      </c>
      <c r="L14" s="158">
        <f t="shared" si="0"/>
        <v>435.33100000000002</v>
      </c>
      <c r="M14" s="158">
        <f t="shared" si="0"/>
        <v>332.80899999999997</v>
      </c>
      <c r="N14" s="158">
        <f t="shared" si="0"/>
        <v>689.10599999999999</v>
      </c>
      <c r="O14" s="158">
        <f t="shared" si="0"/>
        <v>420.22900000000004</v>
      </c>
      <c r="P14" s="158">
        <f t="shared" si="0"/>
        <v>611.66300000000001</v>
      </c>
      <c r="Q14" s="158">
        <f t="shared" si="0"/>
        <v>0</v>
      </c>
      <c r="R14" s="158">
        <f t="shared" si="0"/>
        <v>5024.6140000000005</v>
      </c>
      <c r="S14" s="158">
        <f t="shared" si="0"/>
        <v>5024.6140000000005</v>
      </c>
      <c r="T14" s="157" t="e">
        <f>R14/Q14*100%</f>
        <v>#DIV/0!</v>
      </c>
    </row>
    <row r="15" spans="1:20">
      <c r="A15" s="152">
        <v>7</v>
      </c>
      <c r="B15" s="153"/>
      <c r="C15" s="154"/>
      <c r="D15" s="154"/>
      <c r="E15" s="155"/>
      <c r="F15" s="155"/>
      <c r="G15" s="155"/>
      <c r="H15" s="155"/>
      <c r="I15" s="155"/>
      <c r="J15" s="155"/>
      <c r="K15" s="155"/>
      <c r="L15" s="155"/>
      <c r="M15" s="155"/>
      <c r="N15" s="155"/>
      <c r="O15" s="155"/>
      <c r="P15" s="155"/>
      <c r="Q15" s="156"/>
      <c r="R15" s="156"/>
      <c r="S15" s="156"/>
      <c r="T15" s="157"/>
    </row>
    <row r="16" spans="1:20">
      <c r="A16" s="152">
        <v>8</v>
      </c>
      <c r="B16" s="153" t="s">
        <v>997</v>
      </c>
      <c r="C16" s="154"/>
      <c r="D16" s="154"/>
      <c r="E16" s="155"/>
      <c r="F16" s="155"/>
      <c r="G16" s="155"/>
      <c r="H16" s="155"/>
      <c r="I16" s="155"/>
      <c r="J16" s="155"/>
      <c r="K16" s="155"/>
      <c r="L16" s="155"/>
      <c r="M16" s="155"/>
      <c r="N16" s="155"/>
      <c r="O16" s="155"/>
      <c r="P16" s="155"/>
      <c r="Q16" s="156"/>
      <c r="R16" s="156"/>
      <c r="S16" s="156"/>
      <c r="T16" s="157"/>
    </row>
    <row r="17" spans="1:20">
      <c r="A17" s="152">
        <v>9</v>
      </c>
      <c r="B17" s="153" t="s">
        <v>998</v>
      </c>
      <c r="C17" s="154"/>
      <c r="D17" s="155">
        <f>C17/12</f>
        <v>0</v>
      </c>
      <c r="E17" s="154">
        <v>232.95099999999999</v>
      </c>
      <c r="F17" s="154">
        <v>206.202</v>
      </c>
      <c r="G17" s="154">
        <v>109.629</v>
      </c>
      <c r="H17" s="154">
        <v>155.63</v>
      </c>
      <c r="I17" s="154">
        <v>151.19499999999999</v>
      </c>
      <c r="J17" s="154">
        <v>323.774</v>
      </c>
      <c r="K17" s="154">
        <v>1093.5360000000001</v>
      </c>
      <c r="L17" s="154">
        <v>798.91</v>
      </c>
      <c r="M17" s="154">
        <v>564.03700000000003</v>
      </c>
      <c r="N17" s="154">
        <v>419.137</v>
      </c>
      <c r="O17" s="154">
        <v>292.23700000000002</v>
      </c>
      <c r="P17" s="154">
        <v>433.39600000000002</v>
      </c>
      <c r="Q17" s="156">
        <f>D17*12</f>
        <v>0</v>
      </c>
      <c r="R17" s="156">
        <f>E17+F17+G17+H17+I17+J17+K17+L17+M17+N17+O17+P17</f>
        <v>4780.6339999999991</v>
      </c>
      <c r="S17" s="156">
        <f>R17-Q17</f>
        <v>4780.6339999999991</v>
      </c>
      <c r="T17" s="157" t="e">
        <f>R17/Q17*100%</f>
        <v>#DIV/0!</v>
      </c>
    </row>
    <row r="18" spans="1:20">
      <c r="A18" s="152">
        <v>10</v>
      </c>
      <c r="B18" s="153" t="s">
        <v>999</v>
      </c>
      <c r="C18" s="154"/>
      <c r="D18" s="155">
        <f>C18/12</f>
        <v>0</v>
      </c>
      <c r="E18" s="154">
        <v>250.512</v>
      </c>
      <c r="F18" s="154">
        <v>250.00899999999999</v>
      </c>
      <c r="G18" s="154">
        <v>240.79900000000001</v>
      </c>
      <c r="H18" s="154">
        <v>218.786</v>
      </c>
      <c r="I18" s="154">
        <v>217.74299999999999</v>
      </c>
      <c r="J18" s="154">
        <v>270.197</v>
      </c>
      <c r="K18" s="154">
        <v>293.41199999999998</v>
      </c>
      <c r="L18" s="154">
        <v>298.79000000000002</v>
      </c>
      <c r="M18" s="154">
        <v>345.72699999999998</v>
      </c>
      <c r="N18" s="154">
        <v>303.55</v>
      </c>
      <c r="O18" s="154">
        <v>347.34300000000002</v>
      </c>
      <c r="P18" s="154">
        <v>360.45499999999998</v>
      </c>
      <c r="Q18" s="156">
        <f>D18*12</f>
        <v>0</v>
      </c>
      <c r="R18" s="156">
        <f>E18+F18+G18+H18+I18+J18+K18+L18+M18+N18+O18+P18</f>
        <v>3397.3229999999999</v>
      </c>
      <c r="S18" s="156">
        <f>R18-Q18</f>
        <v>3397.3229999999999</v>
      </c>
      <c r="T18" s="157" t="e">
        <f>R18/Q18*100%</f>
        <v>#DIV/0!</v>
      </c>
    </row>
    <row r="19" spans="1:20">
      <c r="A19" s="152">
        <v>11</v>
      </c>
      <c r="B19" s="153" t="s">
        <v>1000</v>
      </c>
      <c r="C19" s="154"/>
      <c r="D19" s="155">
        <f>C19/12</f>
        <v>0</v>
      </c>
      <c r="E19" s="154">
        <v>25.327999999999999</v>
      </c>
      <c r="F19" s="154">
        <v>13.798999999999999</v>
      </c>
      <c r="G19" s="154">
        <v>12.13</v>
      </c>
      <c r="H19" s="154">
        <v>15.092000000000001</v>
      </c>
      <c r="I19" s="154">
        <v>15.121</v>
      </c>
      <c r="J19" s="154">
        <v>14.968999999999999</v>
      </c>
      <c r="K19" s="154">
        <v>11.913</v>
      </c>
      <c r="L19" s="154">
        <v>13.374000000000001</v>
      </c>
      <c r="M19" s="154">
        <v>14.691000000000001</v>
      </c>
      <c r="N19" s="154">
        <v>11.448</v>
      </c>
      <c r="O19" s="154">
        <v>16.199000000000002</v>
      </c>
      <c r="P19" s="154">
        <v>12.449</v>
      </c>
      <c r="Q19" s="156">
        <f>D19*12</f>
        <v>0</v>
      </c>
      <c r="R19" s="156">
        <f>E19+F19+G19+H19+I19+J19+K19+L19+M19+N19+O19+P19</f>
        <v>176.51300000000001</v>
      </c>
      <c r="S19" s="156">
        <f>R19-Q19</f>
        <v>176.51300000000001</v>
      </c>
      <c r="T19" s="157" t="e">
        <f>R19/Q19*100%</f>
        <v>#DIV/0!</v>
      </c>
    </row>
    <row r="20" spans="1:20">
      <c r="A20" s="152">
        <v>12</v>
      </c>
      <c r="B20" s="153" t="s">
        <v>1001</v>
      </c>
      <c r="C20" s="154"/>
      <c r="D20" s="155">
        <f>C20/12</f>
        <v>0</v>
      </c>
      <c r="E20" s="154">
        <v>131.667</v>
      </c>
      <c r="F20" s="154">
        <v>139.43100000000001</v>
      </c>
      <c r="G20" s="154">
        <v>118.57599999999999</v>
      </c>
      <c r="H20" s="154">
        <v>134.40100000000001</v>
      </c>
      <c r="I20" s="154">
        <v>106.83499999999999</v>
      </c>
      <c r="J20" s="154">
        <v>140.583</v>
      </c>
      <c r="K20" s="154">
        <v>124.80500000000001</v>
      </c>
      <c r="L20" s="154">
        <v>200.08699999999999</v>
      </c>
      <c r="M20" s="154">
        <v>226.64</v>
      </c>
      <c r="N20" s="154">
        <v>171.523</v>
      </c>
      <c r="O20" s="154">
        <v>210.512</v>
      </c>
      <c r="P20" s="154">
        <v>202.37100000000001</v>
      </c>
      <c r="Q20" s="156">
        <f>D20*12</f>
        <v>0</v>
      </c>
      <c r="R20" s="156">
        <f>E20+F20+G20+H20+I20+J20+K20+L20+M20+N20+O20+P20</f>
        <v>1907.431</v>
      </c>
      <c r="S20" s="156">
        <f>R20-Q20</f>
        <v>1907.431</v>
      </c>
      <c r="T20" s="157" t="e">
        <f>R20/Q20*100%</f>
        <v>#DIV/0!</v>
      </c>
    </row>
    <row r="21" spans="1:20">
      <c r="A21" s="152">
        <v>13</v>
      </c>
      <c r="B21" s="153" t="s">
        <v>1002</v>
      </c>
      <c r="C21" s="158">
        <f>SUM(C17:C20)</f>
        <v>0</v>
      </c>
      <c r="D21" s="158">
        <f t="shared" ref="D21:S21" si="1">SUM(D17:D20)</f>
        <v>0</v>
      </c>
      <c r="E21" s="158">
        <f t="shared" si="1"/>
        <v>640.45799999999997</v>
      </c>
      <c r="F21" s="158">
        <f t="shared" si="1"/>
        <v>609.44100000000003</v>
      </c>
      <c r="G21" s="158">
        <f t="shared" si="1"/>
        <v>481.13400000000001</v>
      </c>
      <c r="H21" s="158">
        <f t="shared" si="1"/>
        <v>523.90899999999999</v>
      </c>
      <c r="I21" s="158">
        <f t="shared" si="1"/>
        <v>490.89399999999995</v>
      </c>
      <c r="J21" s="158">
        <f t="shared" si="1"/>
        <v>749.52300000000002</v>
      </c>
      <c r="K21" s="158">
        <f t="shared" si="1"/>
        <v>1523.6660000000002</v>
      </c>
      <c r="L21" s="158">
        <f t="shared" si="1"/>
        <v>1311.1610000000001</v>
      </c>
      <c r="M21" s="158">
        <f t="shared" si="1"/>
        <v>1151.095</v>
      </c>
      <c r="N21" s="158">
        <f t="shared" si="1"/>
        <v>905.65800000000002</v>
      </c>
      <c r="O21" s="158">
        <f t="shared" si="1"/>
        <v>866.29099999999994</v>
      </c>
      <c r="P21" s="158">
        <f t="shared" si="1"/>
        <v>1008.6709999999999</v>
      </c>
      <c r="Q21" s="158">
        <f t="shared" si="1"/>
        <v>0</v>
      </c>
      <c r="R21" s="158">
        <f t="shared" si="1"/>
        <v>10261.901</v>
      </c>
      <c r="S21" s="158">
        <f t="shared" si="1"/>
        <v>10261.901</v>
      </c>
      <c r="T21" s="157" t="e">
        <f>R21/Q21*100%</f>
        <v>#DIV/0!</v>
      </c>
    </row>
    <row r="22" spans="1:20">
      <c r="A22" s="152">
        <v>14</v>
      </c>
      <c r="B22" s="153"/>
      <c r="C22" s="158"/>
      <c r="D22" s="159"/>
      <c r="E22" s="159"/>
      <c r="F22" s="159"/>
      <c r="G22" s="159"/>
      <c r="H22" s="159"/>
      <c r="I22" s="160"/>
      <c r="J22" s="160"/>
      <c r="K22" s="160"/>
      <c r="L22" s="160"/>
      <c r="M22" s="160"/>
      <c r="N22" s="160"/>
      <c r="O22" s="160"/>
      <c r="P22" s="160"/>
      <c r="Q22" s="156"/>
      <c r="R22" s="156"/>
      <c r="S22" s="156"/>
      <c r="T22" s="157"/>
    </row>
    <row r="23" spans="1:20" ht="15">
      <c r="A23" s="152">
        <v>15</v>
      </c>
      <c r="B23" s="161" t="s">
        <v>1020</v>
      </c>
      <c r="C23" s="158">
        <f t="shared" ref="C23:S23" si="2">C14+C21</f>
        <v>0</v>
      </c>
      <c r="D23" s="158">
        <f t="shared" si="2"/>
        <v>0</v>
      </c>
      <c r="E23" s="158">
        <f t="shared" si="2"/>
        <v>1436.865</v>
      </c>
      <c r="F23" s="158">
        <f t="shared" si="2"/>
        <v>917.51200000000006</v>
      </c>
      <c r="G23" s="158">
        <f t="shared" si="2"/>
        <v>740.03500000000008</v>
      </c>
      <c r="H23" s="158">
        <f t="shared" si="2"/>
        <v>872.55</v>
      </c>
      <c r="I23" s="158">
        <f t="shared" si="2"/>
        <v>713.64599999999996</v>
      </c>
      <c r="J23" s="158">
        <f t="shared" si="2"/>
        <v>987.59199999999998</v>
      </c>
      <c r="K23" s="158">
        <f t="shared" si="2"/>
        <v>1886.3010000000002</v>
      </c>
      <c r="L23" s="158">
        <f t="shared" si="2"/>
        <v>1746.4920000000002</v>
      </c>
      <c r="M23" s="158">
        <f t="shared" si="2"/>
        <v>1483.904</v>
      </c>
      <c r="N23" s="158">
        <f t="shared" si="2"/>
        <v>1594.7640000000001</v>
      </c>
      <c r="O23" s="158">
        <f t="shared" si="2"/>
        <v>1286.52</v>
      </c>
      <c r="P23" s="158">
        <f t="shared" si="2"/>
        <v>1620.3339999999998</v>
      </c>
      <c r="Q23" s="158">
        <f t="shared" si="2"/>
        <v>0</v>
      </c>
      <c r="R23" s="158">
        <f t="shared" si="2"/>
        <v>15286.514999999999</v>
      </c>
      <c r="S23" s="158">
        <f t="shared" si="2"/>
        <v>15286.514999999999</v>
      </c>
      <c r="T23" s="157" t="e">
        <f>R23/Q23*100%</f>
        <v>#DIV/0!</v>
      </c>
    </row>
    <row r="24" spans="1:20" ht="15">
      <c r="A24" s="152">
        <v>16</v>
      </c>
      <c r="B24" s="161" t="s">
        <v>1003</v>
      </c>
      <c r="C24" s="158"/>
      <c r="D24" s="158"/>
      <c r="E24" s="158">
        <v>0</v>
      </c>
      <c r="F24" s="158">
        <v>115</v>
      </c>
      <c r="G24" s="154">
        <v>120</v>
      </c>
      <c r="H24" s="154">
        <v>0</v>
      </c>
      <c r="I24" s="154">
        <f>20+10+16.681+50+24+80.4+61.61</f>
        <v>262.69100000000003</v>
      </c>
      <c r="J24" s="154">
        <v>146.434</v>
      </c>
      <c r="K24" s="154">
        <v>0</v>
      </c>
      <c r="L24" s="154">
        <v>56.31</v>
      </c>
      <c r="M24" s="154">
        <v>0</v>
      </c>
      <c r="N24" s="154">
        <v>0</v>
      </c>
      <c r="O24" s="154">
        <v>60</v>
      </c>
      <c r="P24" s="154"/>
      <c r="Q24" s="156">
        <f>D24*12</f>
        <v>0</v>
      </c>
      <c r="R24" s="156">
        <f>E24+F24+G24+H24+I24+J24+K24+L24+M24+N24+O24+P24</f>
        <v>760.43499999999995</v>
      </c>
      <c r="S24" s="156">
        <f>R24-Q24</f>
        <v>760.43499999999995</v>
      </c>
      <c r="T24" s="157"/>
    </row>
    <row r="25" spans="1:20" s="428" customFormat="1" ht="15">
      <c r="A25" s="423">
        <v>17</v>
      </c>
      <c r="B25" s="424" t="s">
        <v>1004</v>
      </c>
      <c r="C25" s="425"/>
      <c r="D25" s="425"/>
      <c r="E25" s="425">
        <f t="shared" ref="E25:M25" si="3">E23+E24</f>
        <v>1436.865</v>
      </c>
      <c r="F25" s="425">
        <f t="shared" si="3"/>
        <v>1032.5120000000002</v>
      </c>
      <c r="G25" s="425">
        <f t="shared" si="3"/>
        <v>860.03500000000008</v>
      </c>
      <c r="H25" s="425">
        <f t="shared" si="3"/>
        <v>872.55</v>
      </c>
      <c r="I25" s="425">
        <f t="shared" si="3"/>
        <v>976.33699999999999</v>
      </c>
      <c r="J25" s="425">
        <f t="shared" si="3"/>
        <v>1134.0260000000001</v>
      </c>
      <c r="K25" s="425">
        <f t="shared" si="3"/>
        <v>1886.3010000000002</v>
      </c>
      <c r="L25" s="425">
        <f t="shared" si="3"/>
        <v>1802.8020000000001</v>
      </c>
      <c r="M25" s="425">
        <f t="shared" si="3"/>
        <v>1483.904</v>
      </c>
      <c r="N25" s="425">
        <f>N23+N24</f>
        <v>1594.7640000000001</v>
      </c>
      <c r="O25" s="425">
        <f>O23+O24</f>
        <v>1346.52</v>
      </c>
      <c r="P25" s="425">
        <f>P23+P24</f>
        <v>1620.3339999999998</v>
      </c>
      <c r="Q25" s="426">
        <f>D25*12</f>
        <v>0</v>
      </c>
      <c r="R25" s="426">
        <f>E25+F25+G25+H25+I25+J25+K25+L25+M25+N25+O25+P25</f>
        <v>16046.95</v>
      </c>
      <c r="S25" s="426">
        <f>R25-Q25</f>
        <v>16046.95</v>
      </c>
      <c r="T25" s="427"/>
    </row>
    <row r="26" spans="1:20" ht="15">
      <c r="A26" s="152">
        <v>18</v>
      </c>
      <c r="B26" s="161" t="s">
        <v>1005</v>
      </c>
      <c r="C26" s="158"/>
      <c r="D26" s="158"/>
      <c r="E26" s="158"/>
      <c r="F26" s="158"/>
      <c r="G26" s="158"/>
      <c r="H26" s="158"/>
      <c r="I26" s="158"/>
      <c r="J26" s="158"/>
      <c r="K26" s="158"/>
      <c r="L26" s="158"/>
      <c r="M26" s="158"/>
      <c r="N26" s="158"/>
      <c r="O26" s="158"/>
      <c r="P26" s="158"/>
      <c r="Q26" s="158"/>
      <c r="R26" s="158"/>
      <c r="S26" s="158"/>
      <c r="T26" s="157"/>
    </row>
    <row r="27" spans="1:20" ht="15">
      <c r="A27" s="152">
        <v>19</v>
      </c>
      <c r="B27" s="161" t="s">
        <v>1006</v>
      </c>
      <c r="C27" s="154"/>
      <c r="D27" s="154"/>
      <c r="E27" s="154">
        <v>42.564</v>
      </c>
      <c r="F27" s="154">
        <v>34.046999999999997</v>
      </c>
      <c r="G27" s="154">
        <v>27.449000000000002</v>
      </c>
      <c r="H27" s="154">
        <v>31.355</v>
      </c>
      <c r="I27" s="162">
        <f>17.752+8.257+5.06+0.1</f>
        <v>31.169</v>
      </c>
      <c r="J27" s="154">
        <v>38.238</v>
      </c>
      <c r="K27" s="154">
        <v>73.234999999999999</v>
      </c>
      <c r="L27" s="154">
        <f>62.419+18.246</f>
        <v>80.664999999999992</v>
      </c>
      <c r="M27" s="154">
        <v>58.755000000000003</v>
      </c>
      <c r="N27" s="154">
        <v>54.426000000000002</v>
      </c>
      <c r="O27" s="154">
        <v>53.482999999999997</v>
      </c>
      <c r="P27" s="154">
        <v>60.96</v>
      </c>
      <c r="Q27" s="156">
        <f>D27*12</f>
        <v>0</v>
      </c>
      <c r="R27" s="156">
        <f>E27+F27+G27+H27+I27+J27+K27+L27+M27+N27+O27+P27</f>
        <v>586.346</v>
      </c>
      <c r="S27" s="156">
        <f>R27-Q27</f>
        <v>586.346</v>
      </c>
      <c r="T27" s="157" t="e">
        <f>R27/Q27*100%</f>
        <v>#DIV/0!</v>
      </c>
    </row>
    <row r="28" spans="1:20" ht="15">
      <c r="A28" s="152">
        <v>20</v>
      </c>
      <c r="B28" s="161" t="s">
        <v>1007</v>
      </c>
      <c r="C28" s="154"/>
      <c r="D28" s="154"/>
      <c r="E28" s="154">
        <v>404.11099999999999</v>
      </c>
      <c r="F28" s="154">
        <v>248.292</v>
      </c>
      <c r="G28" s="154">
        <v>109.90900000000001</v>
      </c>
      <c r="H28" s="154">
        <v>126.56699999999999</v>
      </c>
      <c r="I28" s="155">
        <f>5.225+28.596+62.097+18.163+6.271</f>
        <v>120.352</v>
      </c>
      <c r="J28" s="154">
        <v>163.19300000000001</v>
      </c>
      <c r="K28" s="154">
        <f>979.078-73.066</f>
        <v>906.01199999999994</v>
      </c>
      <c r="L28" s="154">
        <v>717.96199999999999</v>
      </c>
      <c r="M28" s="154">
        <f>254.046+71</f>
        <v>325.04599999999999</v>
      </c>
      <c r="N28" s="154">
        <f>347.857+289</f>
        <v>636.85699999999997</v>
      </c>
      <c r="O28" s="154">
        <v>386.08100000000002</v>
      </c>
      <c r="P28" s="154">
        <v>470.59199999999998</v>
      </c>
      <c r="Q28" s="156">
        <f>D28*12</f>
        <v>0</v>
      </c>
      <c r="R28" s="156">
        <f>E28+F28+G28+H28+I28+J28+K28+L28+M28+N28+O28+P28</f>
        <v>4614.9739999999993</v>
      </c>
      <c r="S28" s="156">
        <f>R28-Q28</f>
        <v>4614.9739999999993</v>
      </c>
      <c r="T28" s="157"/>
    </row>
    <row r="29" spans="1:20" s="438" customFormat="1" ht="15">
      <c r="A29" s="432">
        <v>21</v>
      </c>
      <c r="B29" s="433" t="s">
        <v>1008</v>
      </c>
      <c r="C29" s="434"/>
      <c r="D29" s="434"/>
      <c r="E29" s="435">
        <f>E25-E27-E28</f>
        <v>990.18999999999994</v>
      </c>
      <c r="F29" s="435">
        <f t="shared" ref="F29:P29" si="4">F25-F27-F28</f>
        <v>750.17300000000012</v>
      </c>
      <c r="G29" s="435">
        <f t="shared" si="4"/>
        <v>722.67700000000013</v>
      </c>
      <c r="H29" s="435">
        <f t="shared" si="4"/>
        <v>714.62799999999993</v>
      </c>
      <c r="I29" s="435">
        <f t="shared" si="4"/>
        <v>824.81600000000003</v>
      </c>
      <c r="J29" s="435">
        <f t="shared" si="4"/>
        <v>932.59500000000003</v>
      </c>
      <c r="K29" s="435">
        <f t="shared" si="4"/>
        <v>907.05400000000031</v>
      </c>
      <c r="L29" s="435">
        <f t="shared" si="4"/>
        <v>1004.1750000000002</v>
      </c>
      <c r="M29" s="435">
        <f t="shared" si="4"/>
        <v>1100.1029999999998</v>
      </c>
      <c r="N29" s="435">
        <f t="shared" si="4"/>
        <v>903.48100000000022</v>
      </c>
      <c r="O29" s="435">
        <f t="shared" si="4"/>
        <v>906.95600000000002</v>
      </c>
      <c r="P29" s="435">
        <f t="shared" si="4"/>
        <v>1088.7819999999997</v>
      </c>
      <c r="Q29" s="436">
        <f>D29*12</f>
        <v>0</v>
      </c>
      <c r="R29" s="436">
        <f>E29+F29+G29+H29+I29+J29+K29+L29+M29+N29+O29+P29</f>
        <v>10845.63</v>
      </c>
      <c r="S29" s="436">
        <f>R29-Q29</f>
        <v>10845.63</v>
      </c>
      <c r="T29" s="437"/>
    </row>
    <row r="30" spans="1:20">
      <c r="A30" s="152">
        <v>22</v>
      </c>
      <c r="B30" s="153" t="s">
        <v>1009</v>
      </c>
      <c r="C30" s="158"/>
      <c r="D30" s="159"/>
      <c r="E30" s="159"/>
      <c r="F30" s="159"/>
      <c r="G30" s="159"/>
      <c r="H30" s="159"/>
      <c r="I30" s="160"/>
      <c r="J30" s="160"/>
      <c r="K30" s="160"/>
      <c r="L30" s="160"/>
      <c r="M30" s="160"/>
      <c r="N30" s="160"/>
      <c r="O30" s="160"/>
      <c r="P30" s="160"/>
      <c r="Q30" s="156"/>
      <c r="R30" s="156"/>
      <c r="S30" s="156"/>
      <c r="T30" s="157"/>
    </row>
    <row r="31" spans="1:20" s="428" customFormat="1">
      <c r="A31" s="423">
        <v>23</v>
      </c>
      <c r="B31" s="439" t="s">
        <v>1010</v>
      </c>
      <c r="C31" s="425"/>
      <c r="D31" s="425"/>
      <c r="E31" s="440">
        <v>346.01600000000002</v>
      </c>
      <c r="F31" s="440">
        <v>263.07100000000003</v>
      </c>
      <c r="G31" s="440">
        <v>248.16200000000001</v>
      </c>
      <c r="H31" s="440">
        <v>254.643</v>
      </c>
      <c r="I31" s="440">
        <v>253.58799999999999</v>
      </c>
      <c r="J31" s="440">
        <v>340.22899999999998</v>
      </c>
      <c r="K31" s="440">
        <v>318.68599999999998</v>
      </c>
      <c r="L31" s="440">
        <v>361.37400000000002</v>
      </c>
      <c r="M31" s="440">
        <v>397.666</v>
      </c>
      <c r="N31" s="440">
        <v>295.66800000000001</v>
      </c>
      <c r="O31" s="440">
        <v>298.34199999999998</v>
      </c>
      <c r="P31" s="440">
        <v>371.56200000000001</v>
      </c>
      <c r="Q31" s="426">
        <f t="shared" ref="Q31:Q39" si="5">D31*12</f>
        <v>0</v>
      </c>
      <c r="R31" s="426">
        <f t="shared" ref="R31:R39" si="6">E31+F31+G31+H31+I31+J31+K31+L31+M31+N31+O31+P31</f>
        <v>3749.0070000000005</v>
      </c>
      <c r="S31" s="426">
        <f t="shared" ref="S31:S39" si="7">R31-Q31</f>
        <v>3749.0070000000005</v>
      </c>
      <c r="T31" s="427"/>
    </row>
    <row r="32" spans="1:20" s="447" customFormat="1">
      <c r="A32" s="441">
        <v>24</v>
      </c>
      <c r="B32" s="442" t="s">
        <v>1011</v>
      </c>
      <c r="C32" s="443"/>
      <c r="D32" s="443"/>
      <c r="E32" s="444">
        <v>299.55799999999999</v>
      </c>
      <c r="F32" s="444">
        <v>248.983</v>
      </c>
      <c r="G32" s="444">
        <v>236.465</v>
      </c>
      <c r="H32" s="444">
        <v>232.12899999999999</v>
      </c>
      <c r="I32" s="444">
        <v>290.70699999999999</v>
      </c>
      <c r="J32" s="444">
        <v>299.916</v>
      </c>
      <c r="K32" s="444">
        <v>295.94799999999998</v>
      </c>
      <c r="L32" s="444">
        <v>319.51900000000001</v>
      </c>
      <c r="M32" s="444">
        <v>361.18900000000002</v>
      </c>
      <c r="N32" s="444">
        <v>287.07</v>
      </c>
      <c r="O32" s="444">
        <v>307.71699999999998</v>
      </c>
      <c r="P32" s="444">
        <v>351.69600000000003</v>
      </c>
      <c r="Q32" s="445">
        <f t="shared" si="5"/>
        <v>0</v>
      </c>
      <c r="R32" s="445">
        <f t="shared" si="6"/>
        <v>3530.8970000000004</v>
      </c>
      <c r="S32" s="445">
        <f t="shared" si="7"/>
        <v>3530.8970000000004</v>
      </c>
      <c r="T32" s="446"/>
    </row>
    <row r="33" spans="1:20" s="454" customFormat="1">
      <c r="A33" s="448">
        <v>25</v>
      </c>
      <c r="B33" s="449" t="s">
        <v>1012</v>
      </c>
      <c r="C33" s="450"/>
      <c r="D33" s="450"/>
      <c r="E33" s="451">
        <v>221.80699999999999</v>
      </c>
      <c r="F33" s="451">
        <v>183.22499999999999</v>
      </c>
      <c r="G33" s="451">
        <v>173.935</v>
      </c>
      <c r="H33" s="451">
        <v>171.25700000000001</v>
      </c>
      <c r="I33" s="451">
        <v>213.672</v>
      </c>
      <c r="J33" s="451">
        <v>221.786</v>
      </c>
      <c r="K33" s="451">
        <v>218.06399999999999</v>
      </c>
      <c r="L33" s="451">
        <v>236.232</v>
      </c>
      <c r="M33" s="451">
        <v>266.53899999999999</v>
      </c>
      <c r="N33" s="451">
        <v>210.9</v>
      </c>
      <c r="O33" s="451">
        <v>225.21</v>
      </c>
      <c r="P33" s="451">
        <v>258.81</v>
      </c>
      <c r="Q33" s="452">
        <f t="shared" si="5"/>
        <v>0</v>
      </c>
      <c r="R33" s="452">
        <f t="shared" si="6"/>
        <v>2601.4369999999999</v>
      </c>
      <c r="S33" s="452">
        <f t="shared" si="7"/>
        <v>2601.4369999999999</v>
      </c>
      <c r="T33" s="453"/>
    </row>
    <row r="34" spans="1:20" s="447" customFormat="1">
      <c r="A34" s="441">
        <v>26</v>
      </c>
      <c r="B34" s="442" t="s">
        <v>349</v>
      </c>
      <c r="C34" s="443"/>
      <c r="D34" s="443"/>
      <c r="E34" s="444">
        <v>93.519000000000005</v>
      </c>
      <c r="F34" s="444">
        <v>32.729999999999997</v>
      </c>
      <c r="G34" s="444">
        <v>43.213999999999999</v>
      </c>
      <c r="H34" s="444">
        <v>35.101999999999997</v>
      </c>
      <c r="I34" s="444">
        <v>45.603000000000002</v>
      </c>
      <c r="J34" s="444">
        <v>41.892000000000003</v>
      </c>
      <c r="K34" s="444">
        <v>47.478000000000002</v>
      </c>
      <c r="L34" s="444">
        <v>56.493000000000002</v>
      </c>
      <c r="M34" s="444">
        <v>41.13</v>
      </c>
      <c r="N34" s="444">
        <v>84.966999999999999</v>
      </c>
      <c r="O34" s="444">
        <v>50.674999999999997</v>
      </c>
      <c r="P34" s="444">
        <v>75.41</v>
      </c>
      <c r="Q34" s="445">
        <f t="shared" si="5"/>
        <v>0</v>
      </c>
      <c r="R34" s="445">
        <f t="shared" si="6"/>
        <v>648.21299999999997</v>
      </c>
      <c r="S34" s="445">
        <f t="shared" si="7"/>
        <v>648.21299999999997</v>
      </c>
      <c r="T34" s="446"/>
    </row>
    <row r="35" spans="1:20">
      <c r="A35" s="152">
        <v>27</v>
      </c>
      <c r="B35" s="153" t="s">
        <v>1013</v>
      </c>
      <c r="C35" s="154"/>
      <c r="D35" s="154"/>
      <c r="E35" s="154">
        <v>6.391</v>
      </c>
      <c r="F35" s="154">
        <v>4.7140000000000004</v>
      </c>
      <c r="G35" s="154">
        <v>4.4359999999999999</v>
      </c>
      <c r="H35" s="154">
        <v>4.6230000000000002</v>
      </c>
      <c r="I35" s="154">
        <v>4.3780000000000001</v>
      </c>
      <c r="J35" s="154">
        <v>6.2460000000000004</v>
      </c>
      <c r="K35" s="154">
        <v>5.7489999999999997</v>
      </c>
      <c r="L35" s="154">
        <v>6.6289999999999996</v>
      </c>
      <c r="M35" s="154">
        <v>7.2290000000000001</v>
      </c>
      <c r="N35" s="154">
        <v>5.2489999999999997</v>
      </c>
      <c r="O35" s="154">
        <v>5.173</v>
      </c>
      <c r="P35" s="154">
        <v>6.657</v>
      </c>
      <c r="Q35" s="156">
        <f t="shared" si="5"/>
        <v>0</v>
      </c>
      <c r="R35" s="156">
        <f t="shared" si="6"/>
        <v>67.474000000000004</v>
      </c>
      <c r="S35" s="156">
        <f t="shared" si="7"/>
        <v>67.474000000000004</v>
      </c>
      <c r="T35" s="157"/>
    </row>
    <row r="36" spans="1:20">
      <c r="A36" s="152">
        <v>28</v>
      </c>
      <c r="B36" s="153" t="s">
        <v>1014</v>
      </c>
      <c r="C36" s="154"/>
      <c r="D36" s="154"/>
      <c r="E36" s="154">
        <v>3.1949999999999998</v>
      </c>
      <c r="F36" s="154">
        <v>2.3570000000000002</v>
      </c>
      <c r="G36" s="154">
        <v>2.218</v>
      </c>
      <c r="H36" s="154">
        <v>2.3119999999999998</v>
      </c>
      <c r="I36" s="154">
        <v>2.1890000000000001</v>
      </c>
      <c r="J36" s="154">
        <v>3.1240000000000001</v>
      </c>
      <c r="K36" s="154">
        <v>2.875</v>
      </c>
      <c r="L36" s="154">
        <v>3.3140000000000001</v>
      </c>
      <c r="M36" s="154">
        <v>3.6150000000000002</v>
      </c>
      <c r="N36" s="154">
        <v>2.6240000000000001</v>
      </c>
      <c r="O36" s="154">
        <v>2.5859999999999999</v>
      </c>
      <c r="P36" s="154">
        <v>3.3290000000000002</v>
      </c>
      <c r="Q36" s="156">
        <f t="shared" si="5"/>
        <v>0</v>
      </c>
      <c r="R36" s="156">
        <f t="shared" si="6"/>
        <v>33.737999999999992</v>
      </c>
      <c r="S36" s="156">
        <f t="shared" si="7"/>
        <v>33.737999999999992</v>
      </c>
      <c r="T36" s="157"/>
    </row>
    <row r="37" spans="1:20">
      <c r="A37" s="152">
        <v>29</v>
      </c>
      <c r="B37" s="153" t="s">
        <v>1015</v>
      </c>
      <c r="C37" s="154"/>
      <c r="D37" s="154"/>
      <c r="E37" s="154">
        <v>10.737</v>
      </c>
      <c r="F37" s="154">
        <v>7.9189999999999996</v>
      </c>
      <c r="G37" s="154">
        <v>7.452</v>
      </c>
      <c r="H37" s="154">
        <v>7.7670000000000003</v>
      </c>
      <c r="I37" s="154">
        <v>7.3559999999999999</v>
      </c>
      <c r="J37" s="154">
        <v>10.494999999999999</v>
      </c>
      <c r="K37" s="154">
        <v>9.6590000000000007</v>
      </c>
      <c r="L37" s="154">
        <v>11.137</v>
      </c>
      <c r="M37" s="154">
        <v>12.145</v>
      </c>
      <c r="N37" s="154">
        <v>8.8179999999999996</v>
      </c>
      <c r="O37" s="154">
        <v>8.69</v>
      </c>
      <c r="P37" s="154">
        <v>11.185</v>
      </c>
      <c r="Q37" s="156">
        <f t="shared" si="5"/>
        <v>0</v>
      </c>
      <c r="R37" s="156">
        <f t="shared" si="6"/>
        <v>113.35999999999999</v>
      </c>
      <c r="S37" s="156">
        <f t="shared" si="7"/>
        <v>113.35999999999999</v>
      </c>
      <c r="T37" s="157"/>
    </row>
    <row r="38" spans="1:20">
      <c r="A38" s="152">
        <v>30</v>
      </c>
      <c r="B38" s="153" t="s">
        <v>1016</v>
      </c>
      <c r="C38" s="154"/>
      <c r="D38" s="154"/>
      <c r="E38" s="154">
        <v>8.9670000000000005</v>
      </c>
      <c r="F38" s="154">
        <v>7.1740000000000004</v>
      </c>
      <c r="G38" s="154">
        <v>6.7949999999999999</v>
      </c>
      <c r="H38" s="154">
        <v>6.7949999999999999</v>
      </c>
      <c r="I38" s="154">
        <v>7.3230000000000004</v>
      </c>
      <c r="J38" s="154">
        <v>8.907</v>
      </c>
      <c r="K38" s="154">
        <v>8.5950000000000006</v>
      </c>
      <c r="L38" s="154">
        <v>9.4770000000000003</v>
      </c>
      <c r="M38" s="154">
        <v>10.59</v>
      </c>
      <c r="N38" s="154">
        <v>8.1850000000000005</v>
      </c>
      <c r="O38" s="154">
        <v>8.5630000000000006</v>
      </c>
      <c r="P38" s="154">
        <v>10.132999999999999</v>
      </c>
      <c r="Q38" s="156">
        <f t="shared" si="5"/>
        <v>0</v>
      </c>
      <c r="R38" s="156">
        <f t="shared" si="6"/>
        <v>101.504</v>
      </c>
      <c r="S38" s="156">
        <f t="shared" si="7"/>
        <v>101.504</v>
      </c>
      <c r="T38" s="157"/>
    </row>
    <row r="39" spans="1:20">
      <c r="A39" s="152">
        <v>31</v>
      </c>
      <c r="B39" s="153" t="s">
        <v>1021</v>
      </c>
      <c r="C39" s="158"/>
      <c r="D39" s="158"/>
      <c r="E39" s="158">
        <f>SUM(E31:E38)</f>
        <v>990.19</v>
      </c>
      <c r="F39" s="158">
        <f t="shared" ref="F39:P39" si="8">SUM(F31:F38)</f>
        <v>750.17300000000012</v>
      </c>
      <c r="G39" s="158">
        <f t="shared" si="8"/>
        <v>722.67700000000002</v>
      </c>
      <c r="H39" s="158">
        <f t="shared" si="8"/>
        <v>714.62800000000004</v>
      </c>
      <c r="I39" s="158">
        <f>SUM(I31:I38)</f>
        <v>824.81599999999992</v>
      </c>
      <c r="J39" s="158">
        <f t="shared" si="8"/>
        <v>932.59500000000014</v>
      </c>
      <c r="K39" s="158">
        <f t="shared" si="8"/>
        <v>907.05399999999997</v>
      </c>
      <c r="L39" s="158">
        <f t="shared" si="8"/>
        <v>1004.1750000000001</v>
      </c>
      <c r="M39" s="158">
        <f t="shared" si="8"/>
        <v>1100.1030000000001</v>
      </c>
      <c r="N39" s="158">
        <f t="shared" si="8"/>
        <v>903.48099999999999</v>
      </c>
      <c r="O39" s="158">
        <f t="shared" si="8"/>
        <v>906.95600000000002</v>
      </c>
      <c r="P39" s="158">
        <f t="shared" si="8"/>
        <v>1088.7819999999999</v>
      </c>
      <c r="Q39" s="156">
        <f t="shared" si="5"/>
        <v>0</v>
      </c>
      <c r="R39" s="156">
        <f t="shared" si="6"/>
        <v>10845.630000000001</v>
      </c>
      <c r="S39" s="156">
        <f t="shared" si="7"/>
        <v>10845.630000000001</v>
      </c>
      <c r="T39" s="157"/>
    </row>
    <row r="40" spans="1:20">
      <c r="A40" s="152">
        <v>32</v>
      </c>
      <c r="B40" s="163" t="s">
        <v>1017</v>
      </c>
      <c r="C40" s="158"/>
      <c r="D40" s="159"/>
      <c r="E40" s="159">
        <f>E29-E39</f>
        <v>0</v>
      </c>
      <c r="F40" s="159">
        <f t="shared" ref="F40:S40" si="9">F29-F39</f>
        <v>0</v>
      </c>
      <c r="G40" s="159">
        <f t="shared" si="9"/>
        <v>0</v>
      </c>
      <c r="H40" s="159">
        <f t="shared" si="9"/>
        <v>0</v>
      </c>
      <c r="I40" s="159">
        <f>I29-I39</f>
        <v>0</v>
      </c>
      <c r="J40" s="159">
        <f t="shared" si="9"/>
        <v>0</v>
      </c>
      <c r="K40" s="159">
        <f>K29-K39</f>
        <v>0</v>
      </c>
      <c r="L40" s="159">
        <f t="shared" si="9"/>
        <v>0</v>
      </c>
      <c r="M40" s="159">
        <f t="shared" si="9"/>
        <v>0</v>
      </c>
      <c r="N40" s="159">
        <f t="shared" si="9"/>
        <v>0</v>
      </c>
      <c r="O40" s="159">
        <f t="shared" si="9"/>
        <v>0</v>
      </c>
      <c r="P40" s="159">
        <f>P29-P39</f>
        <v>0</v>
      </c>
      <c r="Q40" s="156"/>
      <c r="R40" s="159">
        <f>R29-R39</f>
        <v>0</v>
      </c>
      <c r="S40" s="159">
        <f t="shared" si="9"/>
        <v>0</v>
      </c>
      <c r="T40" s="157"/>
    </row>
    <row r="41" spans="1:20">
      <c r="E41" s="134">
        <f>SUM(E35:E38)</f>
        <v>29.29</v>
      </c>
      <c r="F41" s="134">
        <f t="shared" ref="F41:P41" si="10">SUM(F35:F38)</f>
        <v>22.164000000000001</v>
      </c>
      <c r="G41" s="134">
        <f t="shared" si="10"/>
        <v>20.901</v>
      </c>
      <c r="H41" s="134">
        <f t="shared" si="10"/>
        <v>21.497</v>
      </c>
      <c r="I41" s="134">
        <f t="shared" si="10"/>
        <v>21.246000000000002</v>
      </c>
      <c r="J41" s="134">
        <f t="shared" si="10"/>
        <v>28.772000000000002</v>
      </c>
      <c r="K41" s="134">
        <f t="shared" si="10"/>
        <v>26.878</v>
      </c>
      <c r="L41" s="134">
        <f t="shared" si="10"/>
        <v>30.556999999999999</v>
      </c>
      <c r="M41" s="134">
        <f t="shared" si="10"/>
        <v>33.579000000000001</v>
      </c>
      <c r="N41" s="134">
        <f t="shared" si="10"/>
        <v>24.875999999999998</v>
      </c>
      <c r="O41" s="134">
        <f t="shared" si="10"/>
        <v>25.012</v>
      </c>
      <c r="P41" s="134">
        <f t="shared" si="10"/>
        <v>31.303999999999998</v>
      </c>
    </row>
    <row r="42" spans="1:20">
      <c r="E42" s="134"/>
      <c r="F42" s="134"/>
      <c r="G42" s="134"/>
      <c r="H42" s="134"/>
      <c r="I42" s="134"/>
      <c r="J42" s="134"/>
      <c r="K42" s="134"/>
      <c r="L42" s="134"/>
      <c r="M42" s="134"/>
      <c r="N42" s="134"/>
      <c r="O42" s="134"/>
      <c r="P42" s="134"/>
    </row>
    <row r="43" spans="1:20">
      <c r="E43" s="134"/>
      <c r="F43" s="134"/>
      <c r="G43" s="134"/>
      <c r="H43" s="134"/>
      <c r="I43" s="134"/>
      <c r="J43" s="134"/>
      <c r="K43" s="134"/>
      <c r="L43" s="134"/>
      <c r="M43" s="134"/>
      <c r="N43" s="134"/>
      <c r="O43" s="134"/>
      <c r="P43" s="134"/>
    </row>
    <row r="44" spans="1:20">
      <c r="E44" s="134"/>
      <c r="F44" s="134"/>
      <c r="G44" s="134"/>
      <c r="H44" s="134"/>
      <c r="I44" s="134"/>
      <c r="J44" s="134"/>
      <c r="K44" s="134"/>
      <c r="L44" s="134"/>
      <c r="M44" s="134"/>
      <c r="N44" s="134"/>
      <c r="O44" s="134"/>
      <c r="P44" s="134"/>
    </row>
    <row r="45" spans="1:20">
      <c r="E45" s="134"/>
      <c r="F45" s="134"/>
      <c r="G45" s="134"/>
      <c r="H45" s="134"/>
      <c r="I45" s="134"/>
      <c r="J45" s="134"/>
      <c r="K45" s="134"/>
      <c r="L45" s="134"/>
      <c r="M45" s="134"/>
      <c r="N45" s="134"/>
      <c r="O45" s="134"/>
      <c r="P45" s="134"/>
    </row>
    <row r="46" spans="1:20">
      <c r="E46" s="134"/>
      <c r="F46" s="134"/>
      <c r="G46" s="134"/>
      <c r="H46" s="134"/>
      <c r="I46" s="134"/>
      <c r="J46" s="134"/>
      <c r="K46" s="134"/>
      <c r="L46" s="134"/>
      <c r="M46" s="134"/>
      <c r="N46" s="134"/>
      <c r="O46" s="134"/>
      <c r="P46" s="134"/>
    </row>
    <row r="47" spans="1:20">
      <c r="E47" s="134"/>
      <c r="F47" s="134"/>
      <c r="G47" s="134"/>
      <c r="H47" s="134"/>
      <c r="I47" s="134"/>
      <c r="J47" s="134"/>
      <c r="K47" s="134"/>
      <c r="L47" s="134"/>
      <c r="M47" s="134"/>
      <c r="N47" s="134"/>
      <c r="O47" s="134"/>
      <c r="P47" s="134"/>
    </row>
    <row r="48" spans="1:20">
      <c r="E48" s="35" t="s">
        <v>1023</v>
      </c>
      <c r="F48" s="35">
        <f>'2022'!M44</f>
        <v>5509.4769999999999</v>
      </c>
    </row>
    <row r="49" spans="5:6">
      <c r="E49" s="35" t="s">
        <v>355</v>
      </c>
      <c r="F49" s="134">
        <f>SUM(E39:I39)</f>
        <v>4002.4840000000004</v>
      </c>
    </row>
    <row r="50" spans="5:6">
      <c r="E50" s="35" t="s">
        <v>1024</v>
      </c>
      <c r="F50" s="136">
        <f>F48+F49</f>
        <v>9511.9609999999993</v>
      </c>
    </row>
    <row r="53" spans="5:6">
      <c r="E53" s="35" t="s">
        <v>1025</v>
      </c>
      <c r="F53" s="164">
        <f>SUM(J39:P39)</f>
        <v>6843.1460000000006</v>
      </c>
    </row>
  </sheetData>
  <mergeCells count="5">
    <mergeCell ref="A1:T1"/>
    <mergeCell ref="A2:T2"/>
    <mergeCell ref="A3:T3"/>
    <mergeCell ref="C5:D5"/>
    <mergeCell ref="Q5:T5"/>
  </mergeCells>
  <pageMargins left="0.70866141732283472" right="0.70866141732283472" top="0.74803149606299213" bottom="0.74803149606299213" header="0.31496062992125984" footer="0.31496062992125984"/>
  <pageSetup paperSize="9" scale="2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E137D-C763-4CE1-8A1C-9271230A6CB2}">
  <sheetPr>
    <pageSetUpPr fitToPage="1"/>
  </sheetPr>
  <dimension ref="A1:T44"/>
  <sheetViews>
    <sheetView topLeftCell="A4" workbookViewId="0">
      <pane xSplit="2" ySplit="5" topLeftCell="F23" activePane="bottomRight" state="frozen"/>
      <selection pane="bottomRight" activeCell="I43" sqref="I43"/>
      <selection pane="bottomLeft" activeCell="D18" sqref="D18"/>
      <selection pane="topRight" activeCell="D18" sqref="D18"/>
    </sheetView>
  </sheetViews>
  <sheetFormatPr defaultColWidth="9.140625" defaultRowHeight="15.95"/>
  <cols>
    <col min="1" max="1" width="5.28515625" style="109" customWidth="1"/>
    <col min="2" max="2" width="45" style="109" bestFit="1" customWidth="1"/>
    <col min="3" max="4" width="11.85546875" style="109" bestFit="1" customWidth="1"/>
    <col min="5" max="16" width="17.140625" style="109" bestFit="1" customWidth="1"/>
    <col min="17" max="17" width="17.42578125" style="109" bestFit="1" customWidth="1"/>
    <col min="18" max="18" width="20.140625" style="109" bestFit="1" customWidth="1"/>
    <col min="19" max="19" width="20" style="109" bestFit="1" customWidth="1"/>
    <col min="20" max="20" width="21.7109375" style="109" customWidth="1"/>
    <col min="21" max="256" width="9.140625" style="109"/>
    <col min="257" max="257" width="5.28515625" style="109" customWidth="1"/>
    <col min="258" max="258" width="57.85546875" style="109" customWidth="1"/>
    <col min="259" max="260" width="20.7109375" style="109" customWidth="1"/>
    <col min="261" max="261" width="18.42578125" style="109" customWidth="1"/>
    <col min="262" max="262" width="19" style="109" customWidth="1"/>
    <col min="263" max="275" width="20.7109375" style="109" customWidth="1"/>
    <col min="276" max="276" width="21.7109375" style="109" customWidth="1"/>
    <col min="277" max="512" width="9.140625" style="109"/>
    <col min="513" max="513" width="5.28515625" style="109" customWidth="1"/>
    <col min="514" max="514" width="57.85546875" style="109" customWidth="1"/>
    <col min="515" max="516" width="20.7109375" style="109" customWidth="1"/>
    <col min="517" max="517" width="18.42578125" style="109" customWidth="1"/>
    <col min="518" max="518" width="19" style="109" customWidth="1"/>
    <col min="519" max="531" width="20.7109375" style="109" customWidth="1"/>
    <col min="532" max="532" width="21.7109375" style="109" customWidth="1"/>
    <col min="533" max="768" width="9.140625" style="109"/>
    <col min="769" max="769" width="5.28515625" style="109" customWidth="1"/>
    <col min="770" max="770" width="57.85546875" style="109" customWidth="1"/>
    <col min="771" max="772" width="20.7109375" style="109" customWidth="1"/>
    <col min="773" max="773" width="18.42578125" style="109" customWidth="1"/>
    <col min="774" max="774" width="19" style="109" customWidth="1"/>
    <col min="775" max="787" width="20.7109375" style="109" customWidth="1"/>
    <col min="788" max="788" width="21.7109375" style="109" customWidth="1"/>
    <col min="789" max="1024" width="9.140625" style="109"/>
    <col min="1025" max="1025" width="5.28515625" style="109" customWidth="1"/>
    <col min="1026" max="1026" width="57.85546875" style="109" customWidth="1"/>
    <col min="1027" max="1028" width="20.7109375" style="109" customWidth="1"/>
    <col min="1029" max="1029" width="18.42578125" style="109" customWidth="1"/>
    <col min="1030" max="1030" width="19" style="109" customWidth="1"/>
    <col min="1031" max="1043" width="20.7109375" style="109" customWidth="1"/>
    <col min="1044" max="1044" width="21.7109375" style="109" customWidth="1"/>
    <col min="1045" max="1280" width="9.140625" style="109"/>
    <col min="1281" max="1281" width="5.28515625" style="109" customWidth="1"/>
    <col min="1282" max="1282" width="57.85546875" style="109" customWidth="1"/>
    <col min="1283" max="1284" width="20.7109375" style="109" customWidth="1"/>
    <col min="1285" max="1285" width="18.42578125" style="109" customWidth="1"/>
    <col min="1286" max="1286" width="19" style="109" customWidth="1"/>
    <col min="1287" max="1299" width="20.7109375" style="109" customWidth="1"/>
    <col min="1300" max="1300" width="21.7109375" style="109" customWidth="1"/>
    <col min="1301" max="1536" width="9.140625" style="109"/>
    <col min="1537" max="1537" width="5.28515625" style="109" customWidth="1"/>
    <col min="1538" max="1538" width="57.85546875" style="109" customWidth="1"/>
    <col min="1539" max="1540" width="20.7109375" style="109" customWidth="1"/>
    <col min="1541" max="1541" width="18.42578125" style="109" customWidth="1"/>
    <col min="1542" max="1542" width="19" style="109" customWidth="1"/>
    <col min="1543" max="1555" width="20.7109375" style="109" customWidth="1"/>
    <col min="1556" max="1556" width="21.7109375" style="109" customWidth="1"/>
    <col min="1557" max="1792" width="9.140625" style="109"/>
    <col min="1793" max="1793" width="5.28515625" style="109" customWidth="1"/>
    <col min="1794" max="1794" width="57.85546875" style="109" customWidth="1"/>
    <col min="1795" max="1796" width="20.7109375" style="109" customWidth="1"/>
    <col min="1797" max="1797" width="18.42578125" style="109" customWidth="1"/>
    <col min="1798" max="1798" width="19" style="109" customWidth="1"/>
    <col min="1799" max="1811" width="20.7109375" style="109" customWidth="1"/>
    <col min="1812" max="1812" width="21.7109375" style="109" customWidth="1"/>
    <col min="1813" max="2048" width="9.140625" style="109"/>
    <col min="2049" max="2049" width="5.28515625" style="109" customWidth="1"/>
    <col min="2050" max="2050" width="57.85546875" style="109" customWidth="1"/>
    <col min="2051" max="2052" width="20.7109375" style="109" customWidth="1"/>
    <col min="2053" max="2053" width="18.42578125" style="109" customWidth="1"/>
    <col min="2054" max="2054" width="19" style="109" customWidth="1"/>
    <col min="2055" max="2067" width="20.7109375" style="109" customWidth="1"/>
    <col min="2068" max="2068" width="21.7109375" style="109" customWidth="1"/>
    <col min="2069" max="2304" width="9.140625" style="109"/>
    <col min="2305" max="2305" width="5.28515625" style="109" customWidth="1"/>
    <col min="2306" max="2306" width="57.85546875" style="109" customWidth="1"/>
    <col min="2307" max="2308" width="20.7109375" style="109" customWidth="1"/>
    <col min="2309" max="2309" width="18.42578125" style="109" customWidth="1"/>
    <col min="2310" max="2310" width="19" style="109" customWidth="1"/>
    <col min="2311" max="2323" width="20.7109375" style="109" customWidth="1"/>
    <col min="2324" max="2324" width="21.7109375" style="109" customWidth="1"/>
    <col min="2325" max="2560" width="9.140625" style="109"/>
    <col min="2561" max="2561" width="5.28515625" style="109" customWidth="1"/>
    <col min="2562" max="2562" width="57.85546875" style="109" customWidth="1"/>
    <col min="2563" max="2564" width="20.7109375" style="109" customWidth="1"/>
    <col min="2565" max="2565" width="18.42578125" style="109" customWidth="1"/>
    <col min="2566" max="2566" width="19" style="109" customWidth="1"/>
    <col min="2567" max="2579" width="20.7109375" style="109" customWidth="1"/>
    <col min="2580" max="2580" width="21.7109375" style="109" customWidth="1"/>
    <col min="2581" max="2816" width="9.140625" style="109"/>
    <col min="2817" max="2817" width="5.28515625" style="109" customWidth="1"/>
    <col min="2818" max="2818" width="57.85546875" style="109" customWidth="1"/>
    <col min="2819" max="2820" width="20.7109375" style="109" customWidth="1"/>
    <col min="2821" max="2821" width="18.42578125" style="109" customWidth="1"/>
    <col min="2822" max="2822" width="19" style="109" customWidth="1"/>
    <col min="2823" max="2835" width="20.7109375" style="109" customWidth="1"/>
    <col min="2836" max="2836" width="21.7109375" style="109" customWidth="1"/>
    <col min="2837" max="3072" width="9.140625" style="109"/>
    <col min="3073" max="3073" width="5.28515625" style="109" customWidth="1"/>
    <col min="3074" max="3074" width="57.85546875" style="109" customWidth="1"/>
    <col min="3075" max="3076" width="20.7109375" style="109" customWidth="1"/>
    <col min="3077" max="3077" width="18.42578125" style="109" customWidth="1"/>
    <col min="3078" max="3078" width="19" style="109" customWidth="1"/>
    <col min="3079" max="3091" width="20.7109375" style="109" customWidth="1"/>
    <col min="3092" max="3092" width="21.7109375" style="109" customWidth="1"/>
    <col min="3093" max="3328" width="9.140625" style="109"/>
    <col min="3329" max="3329" width="5.28515625" style="109" customWidth="1"/>
    <col min="3330" max="3330" width="57.85546875" style="109" customWidth="1"/>
    <col min="3331" max="3332" width="20.7109375" style="109" customWidth="1"/>
    <col min="3333" max="3333" width="18.42578125" style="109" customWidth="1"/>
    <col min="3334" max="3334" width="19" style="109" customWidth="1"/>
    <col min="3335" max="3347" width="20.7109375" style="109" customWidth="1"/>
    <col min="3348" max="3348" width="21.7109375" style="109" customWidth="1"/>
    <col min="3349" max="3584" width="9.140625" style="109"/>
    <col min="3585" max="3585" width="5.28515625" style="109" customWidth="1"/>
    <col min="3586" max="3586" width="57.85546875" style="109" customWidth="1"/>
    <col min="3587" max="3588" width="20.7109375" style="109" customWidth="1"/>
    <col min="3589" max="3589" width="18.42578125" style="109" customWidth="1"/>
    <col min="3590" max="3590" width="19" style="109" customWidth="1"/>
    <col min="3591" max="3603" width="20.7109375" style="109" customWidth="1"/>
    <col min="3604" max="3604" width="21.7109375" style="109" customWidth="1"/>
    <col min="3605" max="3840" width="9.140625" style="109"/>
    <col min="3841" max="3841" width="5.28515625" style="109" customWidth="1"/>
    <col min="3842" max="3842" width="57.85546875" style="109" customWidth="1"/>
    <col min="3843" max="3844" width="20.7109375" style="109" customWidth="1"/>
    <col min="3845" max="3845" width="18.42578125" style="109" customWidth="1"/>
    <col min="3846" max="3846" width="19" style="109" customWidth="1"/>
    <col min="3847" max="3859" width="20.7109375" style="109" customWidth="1"/>
    <col min="3860" max="3860" width="21.7109375" style="109" customWidth="1"/>
    <col min="3861" max="4096" width="9.140625" style="109"/>
    <col min="4097" max="4097" width="5.28515625" style="109" customWidth="1"/>
    <col min="4098" max="4098" width="57.85546875" style="109" customWidth="1"/>
    <col min="4099" max="4100" width="20.7109375" style="109" customWidth="1"/>
    <col min="4101" max="4101" width="18.42578125" style="109" customWidth="1"/>
    <col min="4102" max="4102" width="19" style="109" customWidth="1"/>
    <col min="4103" max="4115" width="20.7109375" style="109" customWidth="1"/>
    <col min="4116" max="4116" width="21.7109375" style="109" customWidth="1"/>
    <col min="4117" max="4352" width="9.140625" style="109"/>
    <col min="4353" max="4353" width="5.28515625" style="109" customWidth="1"/>
    <col min="4354" max="4354" width="57.85546875" style="109" customWidth="1"/>
    <col min="4355" max="4356" width="20.7109375" style="109" customWidth="1"/>
    <col min="4357" max="4357" width="18.42578125" style="109" customWidth="1"/>
    <col min="4358" max="4358" width="19" style="109" customWidth="1"/>
    <col min="4359" max="4371" width="20.7109375" style="109" customWidth="1"/>
    <col min="4372" max="4372" width="21.7109375" style="109" customWidth="1"/>
    <col min="4373" max="4608" width="9.140625" style="109"/>
    <col min="4609" max="4609" width="5.28515625" style="109" customWidth="1"/>
    <col min="4610" max="4610" width="57.85546875" style="109" customWidth="1"/>
    <col min="4611" max="4612" width="20.7109375" style="109" customWidth="1"/>
    <col min="4613" max="4613" width="18.42578125" style="109" customWidth="1"/>
    <col min="4614" max="4614" width="19" style="109" customWidth="1"/>
    <col min="4615" max="4627" width="20.7109375" style="109" customWidth="1"/>
    <col min="4628" max="4628" width="21.7109375" style="109" customWidth="1"/>
    <col min="4629" max="4864" width="9.140625" style="109"/>
    <col min="4865" max="4865" width="5.28515625" style="109" customWidth="1"/>
    <col min="4866" max="4866" width="57.85546875" style="109" customWidth="1"/>
    <col min="4867" max="4868" width="20.7109375" style="109" customWidth="1"/>
    <col min="4869" max="4869" width="18.42578125" style="109" customWidth="1"/>
    <col min="4870" max="4870" width="19" style="109" customWidth="1"/>
    <col min="4871" max="4883" width="20.7109375" style="109" customWidth="1"/>
    <col min="4884" max="4884" width="21.7109375" style="109" customWidth="1"/>
    <col min="4885" max="5120" width="9.140625" style="109"/>
    <col min="5121" max="5121" width="5.28515625" style="109" customWidth="1"/>
    <col min="5122" max="5122" width="57.85546875" style="109" customWidth="1"/>
    <col min="5123" max="5124" width="20.7109375" style="109" customWidth="1"/>
    <col min="5125" max="5125" width="18.42578125" style="109" customWidth="1"/>
    <col min="5126" max="5126" width="19" style="109" customWidth="1"/>
    <col min="5127" max="5139" width="20.7109375" style="109" customWidth="1"/>
    <col min="5140" max="5140" width="21.7109375" style="109" customWidth="1"/>
    <col min="5141" max="5376" width="9.140625" style="109"/>
    <col min="5377" max="5377" width="5.28515625" style="109" customWidth="1"/>
    <col min="5378" max="5378" width="57.85546875" style="109" customWidth="1"/>
    <col min="5379" max="5380" width="20.7109375" style="109" customWidth="1"/>
    <col min="5381" max="5381" width="18.42578125" style="109" customWidth="1"/>
    <col min="5382" max="5382" width="19" style="109" customWidth="1"/>
    <col min="5383" max="5395" width="20.7109375" style="109" customWidth="1"/>
    <col min="5396" max="5396" width="21.7109375" style="109" customWidth="1"/>
    <col min="5397" max="5632" width="9.140625" style="109"/>
    <col min="5633" max="5633" width="5.28515625" style="109" customWidth="1"/>
    <col min="5634" max="5634" width="57.85546875" style="109" customWidth="1"/>
    <col min="5635" max="5636" width="20.7109375" style="109" customWidth="1"/>
    <col min="5637" max="5637" width="18.42578125" style="109" customWidth="1"/>
    <col min="5638" max="5638" width="19" style="109" customWidth="1"/>
    <col min="5639" max="5651" width="20.7109375" style="109" customWidth="1"/>
    <col min="5652" max="5652" width="21.7109375" style="109" customWidth="1"/>
    <col min="5653" max="5888" width="9.140625" style="109"/>
    <col min="5889" max="5889" width="5.28515625" style="109" customWidth="1"/>
    <col min="5890" max="5890" width="57.85546875" style="109" customWidth="1"/>
    <col min="5891" max="5892" width="20.7109375" style="109" customWidth="1"/>
    <col min="5893" max="5893" width="18.42578125" style="109" customWidth="1"/>
    <col min="5894" max="5894" width="19" style="109" customWidth="1"/>
    <col min="5895" max="5907" width="20.7109375" style="109" customWidth="1"/>
    <col min="5908" max="5908" width="21.7109375" style="109" customWidth="1"/>
    <col min="5909" max="6144" width="9.140625" style="109"/>
    <col min="6145" max="6145" width="5.28515625" style="109" customWidth="1"/>
    <col min="6146" max="6146" width="57.85546875" style="109" customWidth="1"/>
    <col min="6147" max="6148" width="20.7109375" style="109" customWidth="1"/>
    <col min="6149" max="6149" width="18.42578125" style="109" customWidth="1"/>
    <col min="6150" max="6150" width="19" style="109" customWidth="1"/>
    <col min="6151" max="6163" width="20.7109375" style="109" customWidth="1"/>
    <col min="6164" max="6164" width="21.7109375" style="109" customWidth="1"/>
    <col min="6165" max="6400" width="9.140625" style="109"/>
    <col min="6401" max="6401" width="5.28515625" style="109" customWidth="1"/>
    <col min="6402" max="6402" width="57.85546875" style="109" customWidth="1"/>
    <col min="6403" max="6404" width="20.7109375" style="109" customWidth="1"/>
    <col min="6405" max="6405" width="18.42578125" style="109" customWidth="1"/>
    <col min="6406" max="6406" width="19" style="109" customWidth="1"/>
    <col min="6407" max="6419" width="20.7109375" style="109" customWidth="1"/>
    <col min="6420" max="6420" width="21.7109375" style="109" customWidth="1"/>
    <col min="6421" max="6656" width="9.140625" style="109"/>
    <col min="6657" max="6657" width="5.28515625" style="109" customWidth="1"/>
    <col min="6658" max="6658" width="57.85546875" style="109" customWidth="1"/>
    <col min="6659" max="6660" width="20.7109375" style="109" customWidth="1"/>
    <col min="6661" max="6661" width="18.42578125" style="109" customWidth="1"/>
    <col min="6662" max="6662" width="19" style="109" customWidth="1"/>
    <col min="6663" max="6675" width="20.7109375" style="109" customWidth="1"/>
    <col min="6676" max="6676" width="21.7109375" style="109" customWidth="1"/>
    <col min="6677" max="6912" width="9.140625" style="109"/>
    <col min="6913" max="6913" width="5.28515625" style="109" customWidth="1"/>
    <col min="6914" max="6914" width="57.85546875" style="109" customWidth="1"/>
    <col min="6915" max="6916" width="20.7109375" style="109" customWidth="1"/>
    <col min="6917" max="6917" width="18.42578125" style="109" customWidth="1"/>
    <col min="6918" max="6918" width="19" style="109" customWidth="1"/>
    <col min="6919" max="6931" width="20.7109375" style="109" customWidth="1"/>
    <col min="6932" max="6932" width="21.7109375" style="109" customWidth="1"/>
    <col min="6933" max="7168" width="9.140625" style="109"/>
    <col min="7169" max="7169" width="5.28515625" style="109" customWidth="1"/>
    <col min="7170" max="7170" width="57.85546875" style="109" customWidth="1"/>
    <col min="7171" max="7172" width="20.7109375" style="109" customWidth="1"/>
    <col min="7173" max="7173" width="18.42578125" style="109" customWidth="1"/>
    <col min="7174" max="7174" width="19" style="109" customWidth="1"/>
    <col min="7175" max="7187" width="20.7109375" style="109" customWidth="1"/>
    <col min="7188" max="7188" width="21.7109375" style="109" customWidth="1"/>
    <col min="7189" max="7424" width="9.140625" style="109"/>
    <col min="7425" max="7425" width="5.28515625" style="109" customWidth="1"/>
    <col min="7426" max="7426" width="57.85546875" style="109" customWidth="1"/>
    <col min="7427" max="7428" width="20.7109375" style="109" customWidth="1"/>
    <col min="7429" max="7429" width="18.42578125" style="109" customWidth="1"/>
    <col min="7430" max="7430" width="19" style="109" customWidth="1"/>
    <col min="7431" max="7443" width="20.7109375" style="109" customWidth="1"/>
    <col min="7444" max="7444" width="21.7109375" style="109" customWidth="1"/>
    <col min="7445" max="7680" width="9.140625" style="109"/>
    <col min="7681" max="7681" width="5.28515625" style="109" customWidth="1"/>
    <col min="7682" max="7682" width="57.85546875" style="109" customWidth="1"/>
    <col min="7683" max="7684" width="20.7109375" style="109" customWidth="1"/>
    <col min="7685" max="7685" width="18.42578125" style="109" customWidth="1"/>
    <col min="7686" max="7686" width="19" style="109" customWidth="1"/>
    <col min="7687" max="7699" width="20.7109375" style="109" customWidth="1"/>
    <col min="7700" max="7700" width="21.7109375" style="109" customWidth="1"/>
    <col min="7701" max="7936" width="9.140625" style="109"/>
    <col min="7937" max="7937" width="5.28515625" style="109" customWidth="1"/>
    <col min="7938" max="7938" width="57.85546875" style="109" customWidth="1"/>
    <col min="7939" max="7940" width="20.7109375" style="109" customWidth="1"/>
    <col min="7941" max="7941" width="18.42578125" style="109" customWidth="1"/>
    <col min="7942" max="7942" width="19" style="109" customWidth="1"/>
    <col min="7943" max="7955" width="20.7109375" style="109" customWidth="1"/>
    <col min="7956" max="7956" width="21.7109375" style="109" customWidth="1"/>
    <col min="7957" max="8192" width="9.140625" style="109"/>
    <col min="8193" max="8193" width="5.28515625" style="109" customWidth="1"/>
    <col min="8194" max="8194" width="57.85546875" style="109" customWidth="1"/>
    <col min="8195" max="8196" width="20.7109375" style="109" customWidth="1"/>
    <col min="8197" max="8197" width="18.42578125" style="109" customWidth="1"/>
    <col min="8198" max="8198" width="19" style="109" customWidth="1"/>
    <col min="8199" max="8211" width="20.7109375" style="109" customWidth="1"/>
    <col min="8212" max="8212" width="21.7109375" style="109" customWidth="1"/>
    <col min="8213" max="8448" width="9.140625" style="109"/>
    <col min="8449" max="8449" width="5.28515625" style="109" customWidth="1"/>
    <col min="8450" max="8450" width="57.85546875" style="109" customWidth="1"/>
    <col min="8451" max="8452" width="20.7109375" style="109" customWidth="1"/>
    <col min="8453" max="8453" width="18.42578125" style="109" customWidth="1"/>
    <col min="8454" max="8454" width="19" style="109" customWidth="1"/>
    <col min="8455" max="8467" width="20.7109375" style="109" customWidth="1"/>
    <col min="8468" max="8468" width="21.7109375" style="109" customWidth="1"/>
    <col min="8469" max="8704" width="9.140625" style="109"/>
    <col min="8705" max="8705" width="5.28515625" style="109" customWidth="1"/>
    <col min="8706" max="8706" width="57.85546875" style="109" customWidth="1"/>
    <col min="8707" max="8708" width="20.7109375" style="109" customWidth="1"/>
    <col min="8709" max="8709" width="18.42578125" style="109" customWidth="1"/>
    <col min="8710" max="8710" width="19" style="109" customWidth="1"/>
    <col min="8711" max="8723" width="20.7109375" style="109" customWidth="1"/>
    <col min="8724" max="8724" width="21.7109375" style="109" customWidth="1"/>
    <col min="8725" max="8960" width="9.140625" style="109"/>
    <col min="8961" max="8961" width="5.28515625" style="109" customWidth="1"/>
    <col min="8962" max="8962" width="57.85546875" style="109" customWidth="1"/>
    <col min="8963" max="8964" width="20.7109375" style="109" customWidth="1"/>
    <col min="8965" max="8965" width="18.42578125" style="109" customWidth="1"/>
    <col min="8966" max="8966" width="19" style="109" customWidth="1"/>
    <col min="8967" max="8979" width="20.7109375" style="109" customWidth="1"/>
    <col min="8980" max="8980" width="21.7109375" style="109" customWidth="1"/>
    <col min="8981" max="9216" width="9.140625" style="109"/>
    <col min="9217" max="9217" width="5.28515625" style="109" customWidth="1"/>
    <col min="9218" max="9218" width="57.85546875" style="109" customWidth="1"/>
    <col min="9219" max="9220" width="20.7109375" style="109" customWidth="1"/>
    <col min="9221" max="9221" width="18.42578125" style="109" customWidth="1"/>
    <col min="9222" max="9222" width="19" style="109" customWidth="1"/>
    <col min="9223" max="9235" width="20.7109375" style="109" customWidth="1"/>
    <col min="9236" max="9236" width="21.7109375" style="109" customWidth="1"/>
    <col min="9237" max="9472" width="9.140625" style="109"/>
    <col min="9473" max="9473" width="5.28515625" style="109" customWidth="1"/>
    <col min="9474" max="9474" width="57.85546875" style="109" customWidth="1"/>
    <col min="9475" max="9476" width="20.7109375" style="109" customWidth="1"/>
    <col min="9477" max="9477" width="18.42578125" style="109" customWidth="1"/>
    <col min="9478" max="9478" width="19" style="109" customWidth="1"/>
    <col min="9479" max="9491" width="20.7109375" style="109" customWidth="1"/>
    <col min="9492" max="9492" width="21.7109375" style="109" customWidth="1"/>
    <col min="9493" max="9728" width="9.140625" style="109"/>
    <col min="9729" max="9729" width="5.28515625" style="109" customWidth="1"/>
    <col min="9730" max="9730" width="57.85546875" style="109" customWidth="1"/>
    <col min="9731" max="9732" width="20.7109375" style="109" customWidth="1"/>
    <col min="9733" max="9733" width="18.42578125" style="109" customWidth="1"/>
    <col min="9734" max="9734" width="19" style="109" customWidth="1"/>
    <col min="9735" max="9747" width="20.7109375" style="109" customWidth="1"/>
    <col min="9748" max="9748" width="21.7109375" style="109" customWidth="1"/>
    <col min="9749" max="9984" width="9.140625" style="109"/>
    <col min="9985" max="9985" width="5.28515625" style="109" customWidth="1"/>
    <col min="9986" max="9986" width="57.85546875" style="109" customWidth="1"/>
    <col min="9987" max="9988" width="20.7109375" style="109" customWidth="1"/>
    <col min="9989" max="9989" width="18.42578125" style="109" customWidth="1"/>
    <col min="9990" max="9990" width="19" style="109" customWidth="1"/>
    <col min="9991" max="10003" width="20.7109375" style="109" customWidth="1"/>
    <col min="10004" max="10004" width="21.7109375" style="109" customWidth="1"/>
    <col min="10005" max="10240" width="9.140625" style="109"/>
    <col min="10241" max="10241" width="5.28515625" style="109" customWidth="1"/>
    <col min="10242" max="10242" width="57.85546875" style="109" customWidth="1"/>
    <col min="10243" max="10244" width="20.7109375" style="109" customWidth="1"/>
    <col min="10245" max="10245" width="18.42578125" style="109" customWidth="1"/>
    <col min="10246" max="10246" width="19" style="109" customWidth="1"/>
    <col min="10247" max="10259" width="20.7109375" style="109" customWidth="1"/>
    <col min="10260" max="10260" width="21.7109375" style="109" customWidth="1"/>
    <col min="10261" max="10496" width="9.140625" style="109"/>
    <col min="10497" max="10497" width="5.28515625" style="109" customWidth="1"/>
    <col min="10498" max="10498" width="57.85546875" style="109" customWidth="1"/>
    <col min="10499" max="10500" width="20.7109375" style="109" customWidth="1"/>
    <col min="10501" max="10501" width="18.42578125" style="109" customWidth="1"/>
    <col min="10502" max="10502" width="19" style="109" customWidth="1"/>
    <col min="10503" max="10515" width="20.7109375" style="109" customWidth="1"/>
    <col min="10516" max="10516" width="21.7109375" style="109" customWidth="1"/>
    <col min="10517" max="10752" width="9.140625" style="109"/>
    <col min="10753" max="10753" width="5.28515625" style="109" customWidth="1"/>
    <col min="10754" max="10754" width="57.85546875" style="109" customWidth="1"/>
    <col min="10755" max="10756" width="20.7109375" style="109" customWidth="1"/>
    <col min="10757" max="10757" width="18.42578125" style="109" customWidth="1"/>
    <col min="10758" max="10758" width="19" style="109" customWidth="1"/>
    <col min="10759" max="10771" width="20.7109375" style="109" customWidth="1"/>
    <col min="10772" max="10772" width="21.7109375" style="109" customWidth="1"/>
    <col min="10773" max="11008" width="9.140625" style="109"/>
    <col min="11009" max="11009" width="5.28515625" style="109" customWidth="1"/>
    <col min="11010" max="11010" width="57.85546875" style="109" customWidth="1"/>
    <col min="11011" max="11012" width="20.7109375" style="109" customWidth="1"/>
    <col min="11013" max="11013" width="18.42578125" style="109" customWidth="1"/>
    <col min="11014" max="11014" width="19" style="109" customWidth="1"/>
    <col min="11015" max="11027" width="20.7109375" style="109" customWidth="1"/>
    <col min="11028" max="11028" width="21.7109375" style="109" customWidth="1"/>
    <col min="11029" max="11264" width="9.140625" style="109"/>
    <col min="11265" max="11265" width="5.28515625" style="109" customWidth="1"/>
    <col min="11266" max="11266" width="57.85546875" style="109" customWidth="1"/>
    <col min="11267" max="11268" width="20.7109375" style="109" customWidth="1"/>
    <col min="11269" max="11269" width="18.42578125" style="109" customWidth="1"/>
    <col min="11270" max="11270" width="19" style="109" customWidth="1"/>
    <col min="11271" max="11283" width="20.7109375" style="109" customWidth="1"/>
    <col min="11284" max="11284" width="21.7109375" style="109" customWidth="1"/>
    <col min="11285" max="11520" width="9.140625" style="109"/>
    <col min="11521" max="11521" width="5.28515625" style="109" customWidth="1"/>
    <col min="11522" max="11522" width="57.85546875" style="109" customWidth="1"/>
    <col min="11523" max="11524" width="20.7109375" style="109" customWidth="1"/>
    <col min="11525" max="11525" width="18.42578125" style="109" customWidth="1"/>
    <col min="11526" max="11526" width="19" style="109" customWidth="1"/>
    <col min="11527" max="11539" width="20.7109375" style="109" customWidth="1"/>
    <col min="11540" max="11540" width="21.7109375" style="109" customWidth="1"/>
    <col min="11541" max="11776" width="9.140625" style="109"/>
    <col min="11777" max="11777" width="5.28515625" style="109" customWidth="1"/>
    <col min="11778" max="11778" width="57.85546875" style="109" customWidth="1"/>
    <col min="11779" max="11780" width="20.7109375" style="109" customWidth="1"/>
    <col min="11781" max="11781" width="18.42578125" style="109" customWidth="1"/>
    <col min="11782" max="11782" width="19" style="109" customWidth="1"/>
    <col min="11783" max="11795" width="20.7109375" style="109" customWidth="1"/>
    <col min="11796" max="11796" width="21.7109375" style="109" customWidth="1"/>
    <col min="11797" max="12032" width="9.140625" style="109"/>
    <col min="12033" max="12033" width="5.28515625" style="109" customWidth="1"/>
    <col min="12034" max="12034" width="57.85546875" style="109" customWidth="1"/>
    <col min="12035" max="12036" width="20.7109375" style="109" customWidth="1"/>
    <col min="12037" max="12037" width="18.42578125" style="109" customWidth="1"/>
    <col min="12038" max="12038" width="19" style="109" customWidth="1"/>
    <col min="12039" max="12051" width="20.7109375" style="109" customWidth="1"/>
    <col min="12052" max="12052" width="21.7109375" style="109" customWidth="1"/>
    <col min="12053" max="12288" width="9.140625" style="109"/>
    <col min="12289" max="12289" width="5.28515625" style="109" customWidth="1"/>
    <col min="12290" max="12290" width="57.85546875" style="109" customWidth="1"/>
    <col min="12291" max="12292" width="20.7109375" style="109" customWidth="1"/>
    <col min="12293" max="12293" width="18.42578125" style="109" customWidth="1"/>
    <col min="12294" max="12294" width="19" style="109" customWidth="1"/>
    <col min="12295" max="12307" width="20.7109375" style="109" customWidth="1"/>
    <col min="12308" max="12308" width="21.7109375" style="109" customWidth="1"/>
    <col min="12309" max="12544" width="9.140625" style="109"/>
    <col min="12545" max="12545" width="5.28515625" style="109" customWidth="1"/>
    <col min="12546" max="12546" width="57.85546875" style="109" customWidth="1"/>
    <col min="12547" max="12548" width="20.7109375" style="109" customWidth="1"/>
    <col min="12549" max="12549" width="18.42578125" style="109" customWidth="1"/>
    <col min="12550" max="12550" width="19" style="109" customWidth="1"/>
    <col min="12551" max="12563" width="20.7109375" style="109" customWidth="1"/>
    <col min="12564" max="12564" width="21.7109375" style="109" customWidth="1"/>
    <col min="12565" max="12800" width="9.140625" style="109"/>
    <col min="12801" max="12801" width="5.28515625" style="109" customWidth="1"/>
    <col min="12802" max="12802" width="57.85546875" style="109" customWidth="1"/>
    <col min="12803" max="12804" width="20.7109375" style="109" customWidth="1"/>
    <col min="12805" max="12805" width="18.42578125" style="109" customWidth="1"/>
    <col min="12806" max="12806" width="19" style="109" customWidth="1"/>
    <col min="12807" max="12819" width="20.7109375" style="109" customWidth="1"/>
    <col min="12820" max="12820" width="21.7109375" style="109" customWidth="1"/>
    <col min="12821" max="13056" width="9.140625" style="109"/>
    <col min="13057" max="13057" width="5.28515625" style="109" customWidth="1"/>
    <col min="13058" max="13058" width="57.85546875" style="109" customWidth="1"/>
    <col min="13059" max="13060" width="20.7109375" style="109" customWidth="1"/>
    <col min="13061" max="13061" width="18.42578125" style="109" customWidth="1"/>
    <col min="13062" max="13062" width="19" style="109" customWidth="1"/>
    <col min="13063" max="13075" width="20.7109375" style="109" customWidth="1"/>
    <col min="13076" max="13076" width="21.7109375" style="109" customWidth="1"/>
    <col min="13077" max="13312" width="9.140625" style="109"/>
    <col min="13313" max="13313" width="5.28515625" style="109" customWidth="1"/>
    <col min="13314" max="13314" width="57.85546875" style="109" customWidth="1"/>
    <col min="13315" max="13316" width="20.7109375" style="109" customWidth="1"/>
    <col min="13317" max="13317" width="18.42578125" style="109" customWidth="1"/>
    <col min="13318" max="13318" width="19" style="109" customWidth="1"/>
    <col min="13319" max="13331" width="20.7109375" style="109" customWidth="1"/>
    <col min="13332" max="13332" width="21.7109375" style="109" customWidth="1"/>
    <col min="13333" max="13568" width="9.140625" style="109"/>
    <col min="13569" max="13569" width="5.28515625" style="109" customWidth="1"/>
    <col min="13570" max="13570" width="57.85546875" style="109" customWidth="1"/>
    <col min="13571" max="13572" width="20.7109375" style="109" customWidth="1"/>
    <col min="13573" max="13573" width="18.42578125" style="109" customWidth="1"/>
    <col min="13574" max="13574" width="19" style="109" customWidth="1"/>
    <col min="13575" max="13587" width="20.7109375" style="109" customWidth="1"/>
    <col min="13588" max="13588" width="21.7109375" style="109" customWidth="1"/>
    <col min="13589" max="13824" width="9.140625" style="109"/>
    <col min="13825" max="13825" width="5.28515625" style="109" customWidth="1"/>
    <col min="13826" max="13826" width="57.85546875" style="109" customWidth="1"/>
    <col min="13827" max="13828" width="20.7109375" style="109" customWidth="1"/>
    <col min="13829" max="13829" width="18.42578125" style="109" customWidth="1"/>
    <col min="13830" max="13830" width="19" style="109" customWidth="1"/>
    <col min="13831" max="13843" width="20.7109375" style="109" customWidth="1"/>
    <col min="13844" max="13844" width="21.7109375" style="109" customWidth="1"/>
    <col min="13845" max="14080" width="9.140625" style="109"/>
    <col min="14081" max="14081" width="5.28515625" style="109" customWidth="1"/>
    <col min="14082" max="14082" width="57.85546875" style="109" customWidth="1"/>
    <col min="14083" max="14084" width="20.7109375" style="109" customWidth="1"/>
    <col min="14085" max="14085" width="18.42578125" style="109" customWidth="1"/>
    <col min="14086" max="14086" width="19" style="109" customWidth="1"/>
    <col min="14087" max="14099" width="20.7109375" style="109" customWidth="1"/>
    <col min="14100" max="14100" width="21.7109375" style="109" customWidth="1"/>
    <col min="14101" max="14336" width="9.140625" style="109"/>
    <col min="14337" max="14337" width="5.28515625" style="109" customWidth="1"/>
    <col min="14338" max="14338" width="57.85546875" style="109" customWidth="1"/>
    <col min="14339" max="14340" width="20.7109375" style="109" customWidth="1"/>
    <col min="14341" max="14341" width="18.42578125" style="109" customWidth="1"/>
    <col min="14342" max="14342" width="19" style="109" customWidth="1"/>
    <col min="14343" max="14355" width="20.7109375" style="109" customWidth="1"/>
    <col min="14356" max="14356" width="21.7109375" style="109" customWidth="1"/>
    <col min="14357" max="14592" width="9.140625" style="109"/>
    <col min="14593" max="14593" width="5.28515625" style="109" customWidth="1"/>
    <col min="14594" max="14594" width="57.85546875" style="109" customWidth="1"/>
    <col min="14595" max="14596" width="20.7109375" style="109" customWidth="1"/>
    <col min="14597" max="14597" width="18.42578125" style="109" customWidth="1"/>
    <col min="14598" max="14598" width="19" style="109" customWidth="1"/>
    <col min="14599" max="14611" width="20.7109375" style="109" customWidth="1"/>
    <col min="14612" max="14612" width="21.7109375" style="109" customWidth="1"/>
    <col min="14613" max="14848" width="9.140625" style="109"/>
    <col min="14849" max="14849" width="5.28515625" style="109" customWidth="1"/>
    <col min="14850" max="14850" width="57.85546875" style="109" customWidth="1"/>
    <col min="14851" max="14852" width="20.7109375" style="109" customWidth="1"/>
    <col min="14853" max="14853" width="18.42578125" style="109" customWidth="1"/>
    <col min="14854" max="14854" width="19" style="109" customWidth="1"/>
    <col min="14855" max="14867" width="20.7109375" style="109" customWidth="1"/>
    <col min="14868" max="14868" width="21.7109375" style="109" customWidth="1"/>
    <col min="14869" max="15104" width="9.140625" style="109"/>
    <col min="15105" max="15105" width="5.28515625" style="109" customWidth="1"/>
    <col min="15106" max="15106" width="57.85546875" style="109" customWidth="1"/>
    <col min="15107" max="15108" width="20.7109375" style="109" customWidth="1"/>
    <col min="15109" max="15109" width="18.42578125" style="109" customWidth="1"/>
    <col min="15110" max="15110" width="19" style="109" customWidth="1"/>
    <col min="15111" max="15123" width="20.7109375" style="109" customWidth="1"/>
    <col min="15124" max="15124" width="21.7109375" style="109" customWidth="1"/>
    <col min="15125" max="15360" width="9.140625" style="109"/>
    <col min="15361" max="15361" width="5.28515625" style="109" customWidth="1"/>
    <col min="15362" max="15362" width="57.85546875" style="109" customWidth="1"/>
    <col min="15363" max="15364" width="20.7109375" style="109" customWidth="1"/>
    <col min="15365" max="15365" width="18.42578125" style="109" customWidth="1"/>
    <col min="15366" max="15366" width="19" style="109" customWidth="1"/>
    <col min="15367" max="15379" width="20.7109375" style="109" customWidth="1"/>
    <col min="15380" max="15380" width="21.7109375" style="109" customWidth="1"/>
    <col min="15381" max="15616" width="9.140625" style="109"/>
    <col min="15617" max="15617" width="5.28515625" style="109" customWidth="1"/>
    <col min="15618" max="15618" width="57.85546875" style="109" customWidth="1"/>
    <col min="15619" max="15620" width="20.7109375" style="109" customWidth="1"/>
    <col min="15621" max="15621" width="18.42578125" style="109" customWidth="1"/>
    <col min="15622" max="15622" width="19" style="109" customWidth="1"/>
    <col min="15623" max="15635" width="20.7109375" style="109" customWidth="1"/>
    <col min="15636" max="15636" width="21.7109375" style="109" customWidth="1"/>
    <col min="15637" max="15872" width="9.140625" style="109"/>
    <col min="15873" max="15873" width="5.28515625" style="109" customWidth="1"/>
    <col min="15874" max="15874" width="57.85546875" style="109" customWidth="1"/>
    <col min="15875" max="15876" width="20.7109375" style="109" customWidth="1"/>
    <col min="15877" max="15877" width="18.42578125" style="109" customWidth="1"/>
    <col min="15878" max="15878" width="19" style="109" customWidth="1"/>
    <col min="15879" max="15891" width="20.7109375" style="109" customWidth="1"/>
    <col min="15892" max="15892" width="21.7109375" style="109" customWidth="1"/>
    <col min="15893" max="16128" width="9.140625" style="109"/>
    <col min="16129" max="16129" width="5.28515625" style="109" customWidth="1"/>
    <col min="16130" max="16130" width="57.85546875" style="109" customWidth="1"/>
    <col min="16131" max="16132" width="20.7109375" style="109" customWidth="1"/>
    <col min="16133" max="16133" width="18.42578125" style="109" customWidth="1"/>
    <col min="16134" max="16134" width="19" style="109" customWidth="1"/>
    <col min="16135" max="16147" width="20.7109375" style="109" customWidth="1"/>
    <col min="16148" max="16148" width="21.7109375" style="109" customWidth="1"/>
    <col min="16149" max="16384" width="9.140625" style="109"/>
  </cols>
  <sheetData>
    <row r="1" spans="1:20">
      <c r="A1" s="1280" t="s">
        <v>952</v>
      </c>
      <c r="B1" s="1280"/>
      <c r="C1" s="1280"/>
      <c r="D1" s="1280"/>
      <c r="E1" s="1280"/>
      <c r="F1" s="1280"/>
      <c r="G1" s="1280"/>
      <c r="H1" s="1280"/>
      <c r="I1" s="1280"/>
      <c r="J1" s="1280"/>
      <c r="K1" s="1280"/>
      <c r="L1" s="1280"/>
      <c r="M1" s="1280"/>
      <c r="N1" s="1280"/>
      <c r="O1" s="1280"/>
      <c r="P1" s="1280"/>
      <c r="Q1" s="1280"/>
      <c r="R1" s="1280"/>
      <c r="S1" s="1280"/>
      <c r="T1" s="1280"/>
    </row>
    <row r="2" spans="1:20">
      <c r="A2" s="1280" t="s">
        <v>953</v>
      </c>
      <c r="B2" s="1280"/>
      <c r="C2" s="1280"/>
      <c r="D2" s="1280"/>
      <c r="E2" s="1280"/>
      <c r="F2" s="1280"/>
      <c r="G2" s="1280"/>
      <c r="H2" s="1280"/>
      <c r="I2" s="1280"/>
      <c r="J2" s="1280"/>
      <c r="K2" s="1280"/>
      <c r="L2" s="1280"/>
      <c r="M2" s="1280"/>
      <c r="N2" s="1280"/>
      <c r="O2" s="1280"/>
      <c r="P2" s="1280"/>
      <c r="Q2" s="1280"/>
      <c r="R2" s="1280"/>
      <c r="S2" s="1280"/>
      <c r="T2" s="1280"/>
    </row>
    <row r="3" spans="1:20" ht="23.25" customHeight="1">
      <c r="A3" s="1281" t="s">
        <v>1026</v>
      </c>
      <c r="B3" s="1281"/>
      <c r="C3" s="1281"/>
      <c r="D3" s="1281"/>
      <c r="E3" s="1281"/>
      <c r="F3" s="1281"/>
      <c r="G3" s="1281"/>
      <c r="H3" s="1281"/>
      <c r="I3" s="1281"/>
      <c r="J3" s="1281"/>
      <c r="K3" s="1281"/>
      <c r="L3" s="1281"/>
      <c r="M3" s="1281"/>
      <c r="N3" s="1281"/>
      <c r="O3" s="1281"/>
      <c r="P3" s="1281"/>
      <c r="Q3" s="1281"/>
      <c r="R3" s="1281"/>
      <c r="S3" s="1281"/>
      <c r="T3" s="1281"/>
    </row>
    <row r="4" spans="1:20">
      <c r="A4" s="110"/>
      <c r="B4" s="108"/>
      <c r="C4" s="108"/>
      <c r="D4" s="108"/>
      <c r="E4" s="108"/>
      <c r="F4" s="108"/>
      <c r="G4" s="108"/>
      <c r="H4" s="108"/>
      <c r="I4" s="108"/>
      <c r="J4" s="108"/>
      <c r="K4" s="108"/>
      <c r="L4" s="108"/>
      <c r="M4" s="108"/>
      <c r="N4" s="108"/>
      <c r="O4" s="108"/>
      <c r="P4" s="108"/>
      <c r="Q4" s="108"/>
      <c r="R4" s="108"/>
      <c r="S4" s="108"/>
      <c r="T4" s="108"/>
    </row>
    <row r="5" spans="1:20">
      <c r="A5" s="111" t="s">
        <v>424</v>
      </c>
      <c r="B5" s="112" t="s">
        <v>955</v>
      </c>
      <c r="C5" s="1282" t="s">
        <v>956</v>
      </c>
      <c r="D5" s="1282"/>
      <c r="E5" s="113" t="s">
        <v>957</v>
      </c>
      <c r="F5" s="113" t="s">
        <v>958</v>
      </c>
      <c r="G5" s="113" t="s">
        <v>448</v>
      </c>
      <c r="H5" s="113" t="s">
        <v>493</v>
      </c>
      <c r="I5" s="113" t="s">
        <v>450</v>
      </c>
      <c r="J5" s="113" t="s">
        <v>451</v>
      </c>
      <c r="K5" s="113" t="s">
        <v>452</v>
      </c>
      <c r="L5" s="113" t="s">
        <v>494</v>
      </c>
      <c r="M5" s="113" t="s">
        <v>959</v>
      </c>
      <c r="N5" s="113" t="s">
        <v>960</v>
      </c>
      <c r="O5" s="113" t="s">
        <v>961</v>
      </c>
      <c r="P5" s="113" t="s">
        <v>962</v>
      </c>
      <c r="Q5" s="1283" t="s">
        <v>963</v>
      </c>
      <c r="R5" s="1283"/>
      <c r="S5" s="1283"/>
      <c r="T5" s="1283"/>
    </row>
    <row r="6" spans="1:20" ht="88.5" customHeight="1">
      <c r="A6" s="111"/>
      <c r="B6" s="112"/>
      <c r="C6" s="115" t="s">
        <v>964</v>
      </c>
      <c r="D6" s="115" t="s">
        <v>965</v>
      </c>
      <c r="E6" s="116" t="s">
        <v>966</v>
      </c>
      <c r="F6" s="116" t="s">
        <v>966</v>
      </c>
      <c r="G6" s="116" t="s">
        <v>966</v>
      </c>
      <c r="H6" s="116" t="s">
        <v>966</v>
      </c>
      <c r="I6" s="116" t="s">
        <v>966</v>
      </c>
      <c r="J6" s="116" t="s">
        <v>966</v>
      </c>
      <c r="K6" s="116" t="s">
        <v>966</v>
      </c>
      <c r="L6" s="116" t="s">
        <v>966</v>
      </c>
      <c r="M6" s="116" t="s">
        <v>966</v>
      </c>
      <c r="N6" s="116" t="s">
        <v>966</v>
      </c>
      <c r="O6" s="116" t="s">
        <v>966</v>
      </c>
      <c r="P6" s="116" t="s">
        <v>966</v>
      </c>
      <c r="Q6" s="117" t="s">
        <v>967</v>
      </c>
      <c r="R6" s="116" t="s">
        <v>968</v>
      </c>
      <c r="S6" s="114" t="s">
        <v>969</v>
      </c>
      <c r="T6" s="118" t="s">
        <v>970</v>
      </c>
    </row>
    <row r="7" spans="1:20" ht="17.100000000000001">
      <c r="A7" s="119"/>
      <c r="B7" s="112"/>
      <c r="C7" s="120" t="s">
        <v>971</v>
      </c>
      <c r="D7" s="120" t="s">
        <v>971</v>
      </c>
      <c r="E7" s="121" t="s">
        <v>971</v>
      </c>
      <c r="F7" s="121" t="s">
        <v>971</v>
      </c>
      <c r="G7" s="121" t="s">
        <v>971</v>
      </c>
      <c r="H7" s="121" t="s">
        <v>971</v>
      </c>
      <c r="I7" s="121" t="s">
        <v>971</v>
      </c>
      <c r="J7" s="121" t="s">
        <v>971</v>
      </c>
      <c r="K7" s="121" t="s">
        <v>971</v>
      </c>
      <c r="L7" s="121" t="s">
        <v>971</v>
      </c>
      <c r="M7" s="121" t="s">
        <v>971</v>
      </c>
      <c r="N7" s="121" t="s">
        <v>971</v>
      </c>
      <c r="O7" s="121" t="s">
        <v>971</v>
      </c>
      <c r="P7" s="121" t="s">
        <v>971</v>
      </c>
      <c r="Q7" s="121" t="s">
        <v>971</v>
      </c>
      <c r="R7" s="121" t="s">
        <v>971</v>
      </c>
      <c r="S7" s="121" t="s">
        <v>971</v>
      </c>
      <c r="T7" s="121" t="s">
        <v>972</v>
      </c>
    </row>
    <row r="8" spans="1:20" ht="51">
      <c r="A8" s="119"/>
      <c r="B8" s="122" t="s">
        <v>973</v>
      </c>
      <c r="C8" s="122" t="s">
        <v>974</v>
      </c>
      <c r="D8" s="122" t="s">
        <v>975</v>
      </c>
      <c r="E8" s="122" t="s">
        <v>976</v>
      </c>
      <c r="F8" s="122" t="s">
        <v>977</v>
      </c>
      <c r="G8" s="122" t="s">
        <v>978</v>
      </c>
      <c r="H8" s="122" t="s">
        <v>979</v>
      </c>
      <c r="I8" s="122" t="s">
        <v>980</v>
      </c>
      <c r="J8" s="122" t="s">
        <v>981</v>
      </c>
      <c r="K8" s="122" t="s">
        <v>383</v>
      </c>
      <c r="L8" s="122" t="s">
        <v>982</v>
      </c>
      <c r="M8" s="122" t="s">
        <v>983</v>
      </c>
      <c r="N8" s="122" t="s">
        <v>984</v>
      </c>
      <c r="O8" s="122" t="s">
        <v>985</v>
      </c>
      <c r="P8" s="122" t="s">
        <v>986</v>
      </c>
      <c r="Q8" s="122" t="s">
        <v>987</v>
      </c>
      <c r="R8" s="122" t="s">
        <v>988</v>
      </c>
      <c r="S8" s="122" t="s">
        <v>989</v>
      </c>
      <c r="T8" s="122" t="s">
        <v>990</v>
      </c>
    </row>
    <row r="9" spans="1:20">
      <c r="A9" s="123">
        <v>1</v>
      </c>
      <c r="B9" s="124" t="s">
        <v>991</v>
      </c>
      <c r="C9" s="125"/>
      <c r="D9" s="126"/>
      <c r="E9" s="126"/>
      <c r="F9" s="126"/>
      <c r="G9" s="126"/>
      <c r="H9" s="126"/>
      <c r="I9" s="126"/>
      <c r="J9" s="126"/>
      <c r="K9" s="126"/>
      <c r="L9" s="126"/>
      <c r="M9" s="126"/>
      <c r="N9" s="126"/>
      <c r="O9" s="126"/>
      <c r="P9" s="126"/>
      <c r="Q9" s="126"/>
      <c r="R9" s="126"/>
      <c r="S9" s="126"/>
      <c r="T9" s="126"/>
    </row>
    <row r="10" spans="1:20">
      <c r="A10" s="123">
        <v>2</v>
      </c>
      <c r="B10" s="124" t="s">
        <v>992</v>
      </c>
      <c r="C10" s="125"/>
      <c r="D10" s="125">
        <f>C10/12</f>
        <v>0</v>
      </c>
      <c r="E10" s="126"/>
      <c r="F10" s="126"/>
      <c r="G10" s="126"/>
      <c r="H10" s="126"/>
      <c r="I10" s="126"/>
      <c r="J10" s="126">
        <v>105.08</v>
      </c>
      <c r="K10" s="126">
        <v>230.21299999999999</v>
      </c>
      <c r="L10" s="126">
        <v>191.70099999999999</v>
      </c>
      <c r="M10" s="126">
        <v>137.65799999999999</v>
      </c>
      <c r="N10" s="126">
        <v>283.06700000000001</v>
      </c>
      <c r="O10" s="126">
        <v>144.10400000000001</v>
      </c>
      <c r="P10" s="126">
        <v>266.33300000000003</v>
      </c>
      <c r="Q10" s="127">
        <f>D10*12</f>
        <v>0</v>
      </c>
      <c r="R10" s="127">
        <f>E10+F10+G10+H10+I10+J10+K10+L10+M10+N10+O10+P10</f>
        <v>1358.1560000000002</v>
      </c>
      <c r="S10" s="127">
        <f>R10-Q10</f>
        <v>1358.1560000000002</v>
      </c>
      <c r="T10" s="128" t="e">
        <f>R10/Q10*100%</f>
        <v>#DIV/0!</v>
      </c>
    </row>
    <row r="11" spans="1:20">
      <c r="A11" s="123">
        <v>3</v>
      </c>
      <c r="B11" s="124" t="s">
        <v>993</v>
      </c>
      <c r="C11" s="125"/>
      <c r="D11" s="126">
        <f>C11/12</f>
        <v>0</v>
      </c>
      <c r="E11" s="126"/>
      <c r="F11" s="126"/>
      <c r="G11" s="126"/>
      <c r="H11" s="126"/>
      <c r="I11" s="126"/>
      <c r="J11" s="126">
        <v>0</v>
      </c>
      <c r="K11" s="126">
        <v>0</v>
      </c>
      <c r="L11" s="126">
        <v>0</v>
      </c>
      <c r="M11" s="126">
        <v>0</v>
      </c>
      <c r="N11" s="126">
        <v>0</v>
      </c>
      <c r="O11" s="126">
        <v>0</v>
      </c>
      <c r="P11" s="126">
        <v>0</v>
      </c>
      <c r="Q11" s="127">
        <f>D11*12</f>
        <v>0</v>
      </c>
      <c r="R11" s="127">
        <f>E11+F11+G11+H11+I11+J11+K11+L11+M11+N11+O11+P11</f>
        <v>0</v>
      </c>
      <c r="S11" s="127">
        <f>R11-Q11</f>
        <v>0</v>
      </c>
      <c r="T11" s="128" t="e">
        <f>R11/Q11*100%</f>
        <v>#DIV/0!</v>
      </c>
    </row>
    <row r="12" spans="1:20">
      <c r="A12" s="123">
        <v>4</v>
      </c>
      <c r="B12" s="124" t="s">
        <v>994</v>
      </c>
      <c r="C12" s="125"/>
      <c r="D12" s="126">
        <f>C12/12</f>
        <v>0</v>
      </c>
      <c r="E12" s="126"/>
      <c r="F12" s="126"/>
      <c r="G12" s="126"/>
      <c r="H12" s="126"/>
      <c r="I12" s="126"/>
      <c r="J12" s="126">
        <v>176.173</v>
      </c>
      <c r="K12" s="126">
        <v>184.14400000000001</v>
      </c>
      <c r="L12" s="126">
        <v>292.80500000000001</v>
      </c>
      <c r="M12" s="126">
        <v>131.452</v>
      </c>
      <c r="N12" s="126">
        <v>257.24099999999999</v>
      </c>
      <c r="O12" s="126">
        <v>112.654</v>
      </c>
      <c r="P12" s="126">
        <v>330.53199999999998</v>
      </c>
      <c r="Q12" s="127">
        <f>D12*12</f>
        <v>0</v>
      </c>
      <c r="R12" s="127">
        <f>E12+F12+G12+H12+I12+J12+K12+L12+M12+N12+O12+P12</f>
        <v>1485.001</v>
      </c>
      <c r="S12" s="127">
        <f>R12-Q12</f>
        <v>1485.001</v>
      </c>
      <c r="T12" s="128" t="e">
        <f>R12/Q12*100%</f>
        <v>#DIV/0!</v>
      </c>
    </row>
    <row r="13" spans="1:20">
      <c r="A13" s="123">
        <v>5</v>
      </c>
      <c r="B13" s="124" t="s">
        <v>995</v>
      </c>
      <c r="C13" s="125"/>
      <c r="D13" s="126">
        <f>C13/12</f>
        <v>0</v>
      </c>
      <c r="E13" s="126"/>
      <c r="F13" s="126"/>
      <c r="G13" s="126"/>
      <c r="H13" s="126"/>
      <c r="I13" s="126"/>
      <c r="J13" s="126">
        <v>0</v>
      </c>
      <c r="K13" s="126">
        <v>0</v>
      </c>
      <c r="L13" s="126">
        <v>0</v>
      </c>
      <c r="M13" s="126">
        <v>0</v>
      </c>
      <c r="N13" s="126">
        <v>0</v>
      </c>
      <c r="O13" s="126">
        <v>0</v>
      </c>
      <c r="P13" s="126">
        <v>0</v>
      </c>
      <c r="Q13" s="127">
        <f>D13*12</f>
        <v>0</v>
      </c>
      <c r="R13" s="127">
        <f>E13+F13+G13+H13+I13+J13+K13+L13+M13+N13+O13+P13</f>
        <v>0</v>
      </c>
      <c r="S13" s="127">
        <f>R13-Q13</f>
        <v>0</v>
      </c>
      <c r="T13" s="128" t="e">
        <f>R13/Q13*100%</f>
        <v>#DIV/0!</v>
      </c>
    </row>
    <row r="14" spans="1:20">
      <c r="A14" s="123">
        <v>6</v>
      </c>
      <c r="B14" s="124" t="s">
        <v>996</v>
      </c>
      <c r="C14" s="129">
        <f>SUM(C10:C13)</f>
        <v>0</v>
      </c>
      <c r="D14" s="129">
        <f>SUM(D10:D13)</f>
        <v>0</v>
      </c>
      <c r="E14" s="129">
        <f t="shared" ref="E14:S14" si="0">SUM(E10:E13)</f>
        <v>0</v>
      </c>
      <c r="F14" s="129">
        <f t="shared" si="0"/>
        <v>0</v>
      </c>
      <c r="G14" s="129">
        <f t="shared" si="0"/>
        <v>0</v>
      </c>
      <c r="H14" s="129">
        <f t="shared" si="0"/>
        <v>0</v>
      </c>
      <c r="I14" s="129">
        <f t="shared" si="0"/>
        <v>0</v>
      </c>
      <c r="J14" s="129">
        <f t="shared" si="0"/>
        <v>281.25299999999999</v>
      </c>
      <c r="K14" s="129">
        <f t="shared" si="0"/>
        <v>414.35699999999997</v>
      </c>
      <c r="L14" s="129">
        <f t="shared" si="0"/>
        <v>484.50599999999997</v>
      </c>
      <c r="M14" s="129">
        <f t="shared" si="0"/>
        <v>269.11</v>
      </c>
      <c r="N14" s="129">
        <f t="shared" si="0"/>
        <v>540.30799999999999</v>
      </c>
      <c r="O14" s="129">
        <f t="shared" si="0"/>
        <v>256.75800000000004</v>
      </c>
      <c r="P14" s="129">
        <f t="shared" si="0"/>
        <v>596.86500000000001</v>
      </c>
      <c r="Q14" s="129">
        <f t="shared" si="0"/>
        <v>0</v>
      </c>
      <c r="R14" s="129">
        <f t="shared" si="0"/>
        <v>2843.1570000000002</v>
      </c>
      <c r="S14" s="129">
        <f t="shared" si="0"/>
        <v>2843.1570000000002</v>
      </c>
      <c r="T14" s="128" t="e">
        <f>R14/Q14*100%</f>
        <v>#DIV/0!</v>
      </c>
    </row>
    <row r="15" spans="1:20">
      <c r="A15" s="123">
        <v>7</v>
      </c>
      <c r="B15" s="124"/>
      <c r="C15" s="125"/>
      <c r="D15" s="125"/>
      <c r="E15" s="126"/>
      <c r="F15" s="126"/>
      <c r="G15" s="126"/>
      <c r="H15" s="126"/>
      <c r="I15" s="126"/>
      <c r="J15" s="126"/>
      <c r="K15" s="126"/>
      <c r="L15" s="126"/>
      <c r="M15" s="126"/>
      <c r="N15" s="126"/>
      <c r="O15" s="126"/>
      <c r="P15" s="126"/>
      <c r="Q15" s="127"/>
      <c r="R15" s="127"/>
      <c r="S15" s="127"/>
      <c r="T15" s="128"/>
    </row>
    <row r="16" spans="1:20">
      <c r="A16" s="123">
        <v>8</v>
      </c>
      <c r="B16" s="124" t="s">
        <v>997</v>
      </c>
      <c r="C16" s="125"/>
      <c r="D16" s="125"/>
      <c r="E16" s="126"/>
      <c r="F16" s="126"/>
      <c r="G16" s="126"/>
      <c r="H16" s="126"/>
      <c r="I16" s="126"/>
      <c r="J16" s="126"/>
      <c r="K16" s="126"/>
      <c r="L16" s="126"/>
      <c r="M16" s="126"/>
      <c r="N16" s="126"/>
      <c r="O16" s="126"/>
      <c r="P16" s="126"/>
      <c r="Q16" s="127"/>
      <c r="R16" s="127"/>
      <c r="S16" s="127"/>
      <c r="T16" s="128"/>
    </row>
    <row r="17" spans="1:20">
      <c r="A17" s="123">
        <v>9</v>
      </c>
      <c r="B17" s="124" t="s">
        <v>998</v>
      </c>
      <c r="C17" s="125"/>
      <c r="D17" s="126">
        <f>C17/12</f>
        <v>0</v>
      </c>
      <c r="E17" s="125"/>
      <c r="F17" s="125"/>
      <c r="G17" s="125"/>
      <c r="H17" s="125"/>
      <c r="I17" s="125"/>
      <c r="J17" s="125">
        <v>153.60900000000001</v>
      </c>
      <c r="K17" s="125">
        <v>447.084</v>
      </c>
      <c r="L17" s="125">
        <v>444.65100000000001</v>
      </c>
      <c r="M17" s="125">
        <v>209.589</v>
      </c>
      <c r="N17" s="125">
        <v>152.37200000000001</v>
      </c>
      <c r="O17" s="125">
        <v>212.93</v>
      </c>
      <c r="P17" s="125">
        <v>205.98400000000001</v>
      </c>
      <c r="Q17" s="127">
        <f>D17*12</f>
        <v>0</v>
      </c>
      <c r="R17" s="127">
        <f>E17+F17+G17+H17+I17+J17+K17+L17+M17+N17+O17+P17</f>
        <v>1826.2190000000001</v>
      </c>
      <c r="S17" s="127">
        <f>R17-Q17</f>
        <v>1826.2190000000001</v>
      </c>
      <c r="T17" s="128" t="e">
        <f>R17/Q17*100%</f>
        <v>#DIV/0!</v>
      </c>
    </row>
    <row r="18" spans="1:20">
      <c r="A18" s="123">
        <v>10</v>
      </c>
      <c r="B18" s="124" t="s">
        <v>999</v>
      </c>
      <c r="C18" s="125"/>
      <c r="D18" s="126">
        <f>C18/12</f>
        <v>0</v>
      </c>
      <c r="E18" s="125"/>
      <c r="F18" s="125"/>
      <c r="G18" s="125"/>
      <c r="H18" s="125"/>
      <c r="I18" s="125"/>
      <c r="J18" s="125">
        <v>213.179</v>
      </c>
      <c r="K18" s="125">
        <v>208.148</v>
      </c>
      <c r="L18" s="125">
        <v>190.256</v>
      </c>
      <c r="M18" s="125">
        <v>231.17099999999999</v>
      </c>
      <c r="N18" s="125">
        <v>203.96100000000001</v>
      </c>
      <c r="O18" s="125">
        <v>229.041</v>
      </c>
      <c r="P18" s="125">
        <v>217.82599999999999</v>
      </c>
      <c r="Q18" s="127">
        <f>D18*12</f>
        <v>0</v>
      </c>
      <c r="R18" s="127">
        <f>E18+F18+G18+H18+I18+J18+K18+L18+M18+N18+O18+P18</f>
        <v>1493.5819999999999</v>
      </c>
      <c r="S18" s="127">
        <f>R18-Q18</f>
        <v>1493.5819999999999</v>
      </c>
      <c r="T18" s="128" t="e">
        <f>R18/Q18*100%</f>
        <v>#DIV/0!</v>
      </c>
    </row>
    <row r="19" spans="1:20">
      <c r="A19" s="123">
        <v>11</v>
      </c>
      <c r="B19" s="124" t="s">
        <v>1000</v>
      </c>
      <c r="C19" s="125"/>
      <c r="D19" s="126">
        <f>C19/12</f>
        <v>0</v>
      </c>
      <c r="E19" s="125"/>
      <c r="F19" s="125"/>
      <c r="G19" s="125"/>
      <c r="H19" s="125"/>
      <c r="I19" s="125"/>
      <c r="J19" s="125">
        <v>101.32</v>
      </c>
      <c r="K19" s="125">
        <v>0</v>
      </c>
      <c r="L19" s="125">
        <v>0</v>
      </c>
      <c r="M19" s="125">
        <v>0</v>
      </c>
      <c r="N19" s="125">
        <v>8.5120000000000005</v>
      </c>
      <c r="O19" s="125">
        <v>0</v>
      </c>
      <c r="P19" s="125">
        <v>11.428000000000001</v>
      </c>
      <c r="Q19" s="127">
        <f>D19*12</f>
        <v>0</v>
      </c>
      <c r="R19" s="127">
        <f>E19+F19+G19+H19+I19+J19+K19+L19+M19+N19+O19+P19</f>
        <v>121.25999999999999</v>
      </c>
      <c r="S19" s="127">
        <f>R19-Q19</f>
        <v>121.25999999999999</v>
      </c>
      <c r="T19" s="128" t="e">
        <f>R19/Q19*100%</f>
        <v>#DIV/0!</v>
      </c>
    </row>
    <row r="20" spans="1:20">
      <c r="A20" s="123">
        <v>12</v>
      </c>
      <c r="B20" s="124" t="s">
        <v>1001</v>
      </c>
      <c r="C20" s="125"/>
      <c r="D20" s="126">
        <f>C20/12</f>
        <v>0</v>
      </c>
      <c r="E20" s="125"/>
      <c r="F20" s="125"/>
      <c r="G20" s="125"/>
      <c r="H20" s="125"/>
      <c r="I20" s="125"/>
      <c r="J20" s="125">
        <v>155.089</v>
      </c>
      <c r="K20" s="125">
        <v>150.62200000000001</v>
      </c>
      <c r="L20" s="125">
        <v>137.68799999999999</v>
      </c>
      <c r="M20" s="125">
        <v>175.661</v>
      </c>
      <c r="N20" s="125">
        <v>133.029</v>
      </c>
      <c r="O20" s="125">
        <v>158.35599999999999</v>
      </c>
      <c r="P20" s="125">
        <v>142.93299999999999</v>
      </c>
      <c r="Q20" s="127">
        <f>D20*12</f>
        <v>0</v>
      </c>
      <c r="R20" s="127">
        <f>E20+F20+G20+H20+I20+J20+K20+L20+M20+N20+O20+P20</f>
        <v>1053.3779999999999</v>
      </c>
      <c r="S20" s="127">
        <f>R20-Q20</f>
        <v>1053.3779999999999</v>
      </c>
      <c r="T20" s="128" t="e">
        <f>R20/Q20*100%</f>
        <v>#DIV/0!</v>
      </c>
    </row>
    <row r="21" spans="1:20">
      <c r="A21" s="123">
        <v>13</v>
      </c>
      <c r="B21" s="124" t="s">
        <v>1002</v>
      </c>
      <c r="C21" s="129">
        <f>SUM(C17:C20)</f>
        <v>0</v>
      </c>
      <c r="D21" s="129">
        <f t="shared" ref="D21:S21" si="1">SUM(D17:D20)</f>
        <v>0</v>
      </c>
      <c r="E21" s="129">
        <f t="shared" si="1"/>
        <v>0</v>
      </c>
      <c r="F21" s="129">
        <f t="shared" si="1"/>
        <v>0</v>
      </c>
      <c r="G21" s="129">
        <f t="shared" si="1"/>
        <v>0</v>
      </c>
      <c r="H21" s="129">
        <f t="shared" si="1"/>
        <v>0</v>
      </c>
      <c r="I21" s="129">
        <f t="shared" si="1"/>
        <v>0</v>
      </c>
      <c r="J21" s="129">
        <f t="shared" si="1"/>
        <v>623.197</v>
      </c>
      <c r="K21" s="129">
        <f t="shared" si="1"/>
        <v>805.85400000000004</v>
      </c>
      <c r="L21" s="129">
        <f t="shared" si="1"/>
        <v>772.59500000000003</v>
      </c>
      <c r="M21" s="129">
        <f t="shared" si="1"/>
        <v>616.42100000000005</v>
      </c>
      <c r="N21" s="129">
        <f t="shared" si="1"/>
        <v>497.87400000000002</v>
      </c>
      <c r="O21" s="129">
        <f t="shared" si="1"/>
        <v>600.327</v>
      </c>
      <c r="P21" s="129">
        <f t="shared" si="1"/>
        <v>578.17100000000005</v>
      </c>
      <c r="Q21" s="129">
        <f t="shared" si="1"/>
        <v>0</v>
      </c>
      <c r="R21" s="129">
        <f t="shared" si="1"/>
        <v>4494.4389999999994</v>
      </c>
      <c r="S21" s="129">
        <f t="shared" si="1"/>
        <v>4494.4389999999994</v>
      </c>
      <c r="T21" s="128" t="e">
        <f>R21/Q21*100%</f>
        <v>#DIV/0!</v>
      </c>
    </row>
    <row r="22" spans="1:20">
      <c r="A22" s="123">
        <v>14</v>
      </c>
      <c r="B22" s="124"/>
      <c r="C22" s="129"/>
      <c r="D22" s="130"/>
      <c r="E22" s="130"/>
      <c r="F22" s="130"/>
      <c r="G22" s="130"/>
      <c r="H22" s="130"/>
      <c r="I22" s="131"/>
      <c r="J22" s="131"/>
      <c r="K22" s="131"/>
      <c r="L22" s="131"/>
      <c r="M22" s="131"/>
      <c r="N22" s="131"/>
      <c r="O22" s="131"/>
      <c r="P22" s="131"/>
      <c r="Q22" s="127"/>
      <c r="R22" s="127"/>
      <c r="S22" s="127"/>
      <c r="T22" s="128"/>
    </row>
    <row r="23" spans="1:20" ht="17.100000000000001">
      <c r="A23" s="123">
        <v>15</v>
      </c>
      <c r="B23" s="132" t="s">
        <v>1020</v>
      </c>
      <c r="C23" s="129">
        <f t="shared" ref="C23:S23" si="2">C14+C21</f>
        <v>0</v>
      </c>
      <c r="D23" s="129">
        <f t="shared" si="2"/>
        <v>0</v>
      </c>
      <c r="E23" s="129">
        <f t="shared" si="2"/>
        <v>0</v>
      </c>
      <c r="F23" s="129">
        <f t="shared" si="2"/>
        <v>0</v>
      </c>
      <c r="G23" s="129">
        <f t="shared" si="2"/>
        <v>0</v>
      </c>
      <c r="H23" s="129">
        <f t="shared" si="2"/>
        <v>0</v>
      </c>
      <c r="I23" s="129">
        <f t="shared" si="2"/>
        <v>0</v>
      </c>
      <c r="J23" s="129">
        <f t="shared" si="2"/>
        <v>904.45</v>
      </c>
      <c r="K23" s="129">
        <f t="shared" si="2"/>
        <v>1220.211</v>
      </c>
      <c r="L23" s="129">
        <f t="shared" si="2"/>
        <v>1257.1010000000001</v>
      </c>
      <c r="M23" s="129">
        <f t="shared" si="2"/>
        <v>885.53100000000006</v>
      </c>
      <c r="N23" s="129">
        <f t="shared" si="2"/>
        <v>1038.182</v>
      </c>
      <c r="O23" s="129">
        <f t="shared" si="2"/>
        <v>857.08500000000004</v>
      </c>
      <c r="P23" s="129">
        <f t="shared" si="2"/>
        <v>1175.0360000000001</v>
      </c>
      <c r="Q23" s="129">
        <f t="shared" si="2"/>
        <v>0</v>
      </c>
      <c r="R23" s="129">
        <f t="shared" si="2"/>
        <v>7337.5959999999995</v>
      </c>
      <c r="S23" s="129">
        <f t="shared" si="2"/>
        <v>7337.5959999999995</v>
      </c>
      <c r="T23" s="128" t="e">
        <f>R23/Q23*100%</f>
        <v>#DIV/0!</v>
      </c>
    </row>
    <row r="24" spans="1:20" ht="17.100000000000001">
      <c r="A24" s="123">
        <v>16</v>
      </c>
      <c r="B24" s="132" t="s">
        <v>1003</v>
      </c>
      <c r="C24" s="129"/>
      <c r="D24" s="129"/>
      <c r="E24" s="129"/>
      <c r="F24" s="129"/>
      <c r="G24" s="129"/>
      <c r="H24" s="129"/>
      <c r="I24" s="129"/>
      <c r="J24" s="129">
        <v>0</v>
      </c>
      <c r="K24" s="129">
        <v>0</v>
      </c>
      <c r="L24" s="129">
        <v>0</v>
      </c>
      <c r="M24" s="129">
        <v>0</v>
      </c>
      <c r="N24" s="129">
        <v>60</v>
      </c>
      <c r="O24" s="129">
        <f>70+30</f>
        <v>100</v>
      </c>
      <c r="P24" s="129"/>
      <c r="Q24" s="127">
        <f>D24*12</f>
        <v>0</v>
      </c>
      <c r="R24" s="127">
        <f>E24+F24+G24+H24+I24+J24+K24+L24+M24+N24+O24+P24</f>
        <v>160</v>
      </c>
      <c r="S24" s="127">
        <f>R24-Q24</f>
        <v>160</v>
      </c>
      <c r="T24" s="128"/>
    </row>
    <row r="25" spans="1:20" s="386" customFormat="1" ht="17.100000000000001">
      <c r="A25" s="382">
        <v>17</v>
      </c>
      <c r="B25" s="383" t="s">
        <v>1004</v>
      </c>
      <c r="C25" s="384"/>
      <c r="D25" s="384"/>
      <c r="E25" s="384">
        <f t="shared" ref="E25:M25" si="3">E23+E24</f>
        <v>0</v>
      </c>
      <c r="F25" s="384">
        <f t="shared" si="3"/>
        <v>0</v>
      </c>
      <c r="G25" s="384">
        <f t="shared" si="3"/>
        <v>0</v>
      </c>
      <c r="H25" s="384">
        <f t="shared" si="3"/>
        <v>0</v>
      </c>
      <c r="I25" s="384">
        <f t="shared" si="3"/>
        <v>0</v>
      </c>
      <c r="J25" s="384">
        <f t="shared" si="3"/>
        <v>904.45</v>
      </c>
      <c r="K25" s="384">
        <f>K23+K24</f>
        <v>1220.211</v>
      </c>
      <c r="L25" s="384">
        <f t="shared" si="3"/>
        <v>1257.1010000000001</v>
      </c>
      <c r="M25" s="384">
        <f t="shared" si="3"/>
        <v>885.53100000000006</v>
      </c>
      <c r="N25" s="384">
        <f>N23+N24</f>
        <v>1098.182</v>
      </c>
      <c r="O25" s="384">
        <f>O23+O24</f>
        <v>957.08500000000004</v>
      </c>
      <c r="P25" s="384">
        <f>P23+P24</f>
        <v>1175.0360000000001</v>
      </c>
      <c r="Q25" s="387">
        <f>D25*12</f>
        <v>0</v>
      </c>
      <c r="R25" s="387">
        <f>E25+F25+G25+H25+I25+J25+K25+L25+M25+N25+O25+P25</f>
        <v>7497.5960000000005</v>
      </c>
      <c r="S25" s="387">
        <f>R25-Q25</f>
        <v>7497.5960000000005</v>
      </c>
      <c r="T25" s="385"/>
    </row>
    <row r="26" spans="1:20" ht="17.100000000000001">
      <c r="A26" s="123">
        <v>18</v>
      </c>
      <c r="B26" s="132" t="s">
        <v>1005</v>
      </c>
      <c r="C26" s="129"/>
      <c r="D26" s="129"/>
      <c r="E26" s="129"/>
      <c r="F26" s="129"/>
      <c r="G26" s="129"/>
      <c r="H26" s="129"/>
      <c r="I26" s="129"/>
      <c r="J26" s="129"/>
      <c r="K26" s="129"/>
      <c r="L26" s="129"/>
      <c r="M26" s="129"/>
      <c r="N26" s="129"/>
      <c r="O26" s="129"/>
      <c r="P26" s="129"/>
      <c r="Q26" s="129"/>
      <c r="R26" s="129"/>
      <c r="S26" s="129"/>
      <c r="T26" s="128"/>
    </row>
    <row r="27" spans="1:20" ht="17.100000000000001">
      <c r="A27" s="123">
        <v>19</v>
      </c>
      <c r="B27" s="132" t="s">
        <v>1006</v>
      </c>
      <c r="C27" s="125"/>
      <c r="D27" s="125"/>
      <c r="E27" s="125"/>
      <c r="F27" s="125"/>
      <c r="G27" s="125"/>
      <c r="H27" s="125"/>
      <c r="I27" s="125"/>
      <c r="J27" s="125">
        <v>36.996000000000002</v>
      </c>
      <c r="K27" s="125">
        <v>44.606000000000002</v>
      </c>
      <c r="L27" s="125">
        <v>47.255000000000003</v>
      </c>
      <c r="M27" s="125">
        <v>35.487000000000002</v>
      </c>
      <c r="N27" s="125">
        <v>34.421999999999997</v>
      </c>
      <c r="O27" s="125">
        <v>33.555</v>
      </c>
      <c r="P27" s="125">
        <v>40.695</v>
      </c>
      <c r="Q27" s="127">
        <f>D27*12</f>
        <v>0</v>
      </c>
      <c r="R27" s="127">
        <f>E27+F27+G27+H27+I27+J27+K27+L27+M27+N27+O27+P27</f>
        <v>273.01600000000002</v>
      </c>
      <c r="S27" s="127">
        <f>R27-Q27</f>
        <v>273.01600000000002</v>
      </c>
      <c r="T27" s="128" t="e">
        <f>R27/Q27*100%</f>
        <v>#DIV/0!</v>
      </c>
    </row>
    <row r="28" spans="1:20" ht="17.100000000000001">
      <c r="A28" s="123">
        <v>20</v>
      </c>
      <c r="B28" s="132" t="s">
        <v>1007</v>
      </c>
      <c r="C28" s="125"/>
      <c r="D28" s="125"/>
      <c r="E28" s="125"/>
      <c r="F28" s="125"/>
      <c r="G28" s="125"/>
      <c r="H28" s="125"/>
      <c r="I28" s="125"/>
      <c r="J28" s="125">
        <v>186.672</v>
      </c>
      <c r="K28" s="125">
        <v>373.2</v>
      </c>
      <c r="L28" s="125">
        <v>255.762</v>
      </c>
      <c r="M28" s="125">
        <v>176.90700000000001</v>
      </c>
      <c r="N28" s="125">
        <v>303.52499999999998</v>
      </c>
      <c r="O28" s="125">
        <v>186.749</v>
      </c>
      <c r="P28" s="125">
        <v>232.28800000000001</v>
      </c>
      <c r="Q28" s="127">
        <f>D28*12</f>
        <v>0</v>
      </c>
      <c r="R28" s="127">
        <f>E28+F28+G28+H28+I28+J28+K28+L28+M28+N28+O28+P28</f>
        <v>1715.1030000000001</v>
      </c>
      <c r="S28" s="127">
        <f>R28-Q28</f>
        <v>1715.1030000000001</v>
      </c>
      <c r="T28" s="128"/>
    </row>
    <row r="29" spans="1:20" s="386" customFormat="1" ht="17.100000000000001">
      <c r="A29" s="382">
        <v>21</v>
      </c>
      <c r="B29" s="383" t="s">
        <v>1008</v>
      </c>
      <c r="C29" s="388"/>
      <c r="D29" s="388"/>
      <c r="E29" s="384">
        <f>E25-E27-E28</f>
        <v>0</v>
      </c>
      <c r="F29" s="384">
        <f t="shared" ref="F29:P29" si="4">F25-F27-F28</f>
        <v>0</v>
      </c>
      <c r="G29" s="384">
        <f t="shared" si="4"/>
        <v>0</v>
      </c>
      <c r="H29" s="384">
        <f t="shared" si="4"/>
        <v>0</v>
      </c>
      <c r="I29" s="384">
        <f t="shared" si="4"/>
        <v>0</v>
      </c>
      <c r="J29" s="384">
        <f t="shared" si="4"/>
        <v>680.78200000000004</v>
      </c>
      <c r="K29" s="384">
        <f t="shared" si="4"/>
        <v>802.40499999999997</v>
      </c>
      <c r="L29" s="384">
        <f t="shared" si="4"/>
        <v>954.08400000000006</v>
      </c>
      <c r="M29" s="384">
        <f t="shared" si="4"/>
        <v>673.13700000000006</v>
      </c>
      <c r="N29" s="384">
        <f t="shared" si="4"/>
        <v>760.23500000000001</v>
      </c>
      <c r="O29" s="384">
        <f t="shared" si="4"/>
        <v>736.78100000000006</v>
      </c>
      <c r="P29" s="384">
        <f t="shared" si="4"/>
        <v>902.05300000000011</v>
      </c>
      <c r="Q29" s="387">
        <f>D29*12</f>
        <v>0</v>
      </c>
      <c r="R29" s="387">
        <f>E29+F29+G29+H29+I29+J29+K29+L29+M29+N29+O29+P29</f>
        <v>5509.4769999999999</v>
      </c>
      <c r="S29" s="387">
        <f>R29-Q29</f>
        <v>5509.4769999999999</v>
      </c>
      <c r="T29" s="385"/>
    </row>
    <row r="30" spans="1:20">
      <c r="A30" s="123">
        <v>22</v>
      </c>
      <c r="B30" s="124" t="s">
        <v>1009</v>
      </c>
      <c r="C30" s="129"/>
      <c r="D30" s="130"/>
      <c r="E30" s="130"/>
      <c r="F30" s="130"/>
      <c r="G30" s="130"/>
      <c r="H30" s="130"/>
      <c r="I30" s="131"/>
      <c r="J30" s="131"/>
      <c r="K30" s="131"/>
      <c r="L30" s="131"/>
      <c r="M30" s="131"/>
      <c r="N30" s="131"/>
      <c r="O30" s="131"/>
      <c r="P30" s="131"/>
      <c r="Q30" s="127"/>
      <c r="R30" s="127"/>
      <c r="S30" s="127"/>
      <c r="T30" s="128"/>
    </row>
    <row r="31" spans="1:20" s="394" customFormat="1">
      <c r="A31" s="389">
        <v>23</v>
      </c>
      <c r="B31" s="390" t="s">
        <v>1010</v>
      </c>
      <c r="C31" s="391"/>
      <c r="D31" s="391"/>
      <c r="E31" s="391"/>
      <c r="F31" s="391"/>
      <c r="G31" s="391"/>
      <c r="H31" s="391"/>
      <c r="I31" s="391"/>
      <c r="J31" s="391">
        <v>211.911</v>
      </c>
      <c r="K31" s="391">
        <v>296.69</v>
      </c>
      <c r="L31" s="391">
        <v>374.68299999999999</v>
      </c>
      <c r="M31" s="391">
        <v>239.44800000000001</v>
      </c>
      <c r="N31" s="391">
        <v>271.27300000000002</v>
      </c>
      <c r="O31" s="391">
        <v>271.036</v>
      </c>
      <c r="P31" s="391">
        <v>330.47399999999999</v>
      </c>
      <c r="Q31" s="392">
        <f t="shared" ref="Q31:Q39" si="5">D31*12</f>
        <v>0</v>
      </c>
      <c r="R31" s="392">
        <f t="shared" ref="R31:R39" si="6">E31+F31+G31+H31+I31+J31+K31+L31+M31+N31+O31+P31</f>
        <v>1995.5150000000001</v>
      </c>
      <c r="S31" s="392">
        <f t="shared" ref="S31:S39" si="7">R31-Q31</f>
        <v>1995.5150000000001</v>
      </c>
      <c r="T31" s="393"/>
    </row>
    <row r="32" spans="1:20" s="400" customFormat="1">
      <c r="A32" s="395">
        <v>24</v>
      </c>
      <c r="B32" s="396" t="s">
        <v>1011</v>
      </c>
      <c r="C32" s="397"/>
      <c r="D32" s="397"/>
      <c r="E32" s="397"/>
      <c r="F32" s="397"/>
      <c r="G32" s="397"/>
      <c r="H32" s="397"/>
      <c r="I32" s="397"/>
      <c r="J32" s="397">
        <v>241.82300000000001</v>
      </c>
      <c r="K32" s="397">
        <v>245.41800000000001</v>
      </c>
      <c r="L32" s="397">
        <v>281.34199999999998</v>
      </c>
      <c r="M32" s="397">
        <v>222.94900000000001</v>
      </c>
      <c r="N32" s="397">
        <v>233.22300000000001</v>
      </c>
      <c r="O32" s="397">
        <v>239.512</v>
      </c>
      <c r="P32" s="397">
        <v>272.48099999999999</v>
      </c>
      <c r="Q32" s="398">
        <f t="shared" si="5"/>
        <v>0</v>
      </c>
      <c r="R32" s="398">
        <f t="shared" si="6"/>
        <v>1736.7479999999998</v>
      </c>
      <c r="S32" s="398">
        <f t="shared" si="7"/>
        <v>1736.7479999999998</v>
      </c>
      <c r="T32" s="399"/>
    </row>
    <row r="33" spans="1:20" s="406" customFormat="1">
      <c r="A33" s="401">
        <v>25</v>
      </c>
      <c r="B33" s="402" t="s">
        <v>1012</v>
      </c>
      <c r="C33" s="403"/>
      <c r="D33" s="403"/>
      <c r="E33" s="403"/>
      <c r="F33" s="403"/>
      <c r="G33" s="403"/>
      <c r="H33" s="403"/>
      <c r="I33" s="403"/>
      <c r="J33" s="403">
        <v>175.94200000000001</v>
      </c>
      <c r="K33" s="403">
        <v>182.33</v>
      </c>
      <c r="L33" s="403">
        <v>210.61699999999999</v>
      </c>
      <c r="M33" s="403">
        <v>164.24700000000001</v>
      </c>
      <c r="N33" s="403">
        <v>172.77699999999999</v>
      </c>
      <c r="O33" s="403">
        <v>177.08699999999999</v>
      </c>
      <c r="P33" s="403">
        <v>202.48599999999999</v>
      </c>
      <c r="Q33" s="404">
        <f t="shared" si="5"/>
        <v>0</v>
      </c>
      <c r="R33" s="404">
        <f t="shared" si="6"/>
        <v>1285.4859999999999</v>
      </c>
      <c r="S33" s="404">
        <f t="shared" si="7"/>
        <v>1285.4859999999999</v>
      </c>
      <c r="T33" s="405"/>
    </row>
    <row r="34" spans="1:20" s="400" customFormat="1">
      <c r="A34" s="395">
        <v>26</v>
      </c>
      <c r="B34" s="396" t="s">
        <v>349</v>
      </c>
      <c r="C34" s="397"/>
      <c r="D34" s="397"/>
      <c r="E34" s="397"/>
      <c r="F34" s="397"/>
      <c r="G34" s="397"/>
      <c r="H34" s="397"/>
      <c r="I34" s="397"/>
      <c r="J34" s="397">
        <v>33.454000000000001</v>
      </c>
      <c r="K34" s="397">
        <v>52.798999999999999</v>
      </c>
      <c r="L34" s="397">
        <v>55.515000000000001</v>
      </c>
      <c r="M34" s="397">
        <v>26.300999999999998</v>
      </c>
      <c r="N34" s="397">
        <v>59.991999999999997</v>
      </c>
      <c r="O34" s="397">
        <v>26.228000000000002</v>
      </c>
      <c r="P34" s="397">
        <v>68.572000000000003</v>
      </c>
      <c r="Q34" s="398">
        <f t="shared" si="5"/>
        <v>0</v>
      </c>
      <c r="R34" s="398">
        <f t="shared" si="6"/>
        <v>322.86099999999999</v>
      </c>
      <c r="S34" s="398">
        <f t="shared" si="7"/>
        <v>322.86099999999999</v>
      </c>
      <c r="T34" s="399"/>
    </row>
    <row r="35" spans="1:20">
      <c r="A35" s="123">
        <v>27</v>
      </c>
      <c r="B35" s="124" t="s">
        <v>1013</v>
      </c>
      <c r="C35" s="125"/>
      <c r="D35" s="125"/>
      <c r="E35" s="129"/>
      <c r="F35" s="129"/>
      <c r="G35" s="129"/>
      <c r="H35" s="129"/>
      <c r="I35" s="129"/>
      <c r="J35" s="129">
        <v>3.5150000000000001</v>
      </c>
      <c r="K35" s="129">
        <v>5.5570000000000004</v>
      </c>
      <c r="L35" s="129">
        <v>7.2140000000000004</v>
      </c>
      <c r="M35" s="129">
        <v>4.3159999999999998</v>
      </c>
      <c r="N35" s="129">
        <v>5.0209999999999999</v>
      </c>
      <c r="O35" s="129">
        <v>4.9720000000000004</v>
      </c>
      <c r="P35" s="129">
        <v>6.1970000000000001</v>
      </c>
      <c r="Q35" s="127">
        <f t="shared" si="5"/>
        <v>0</v>
      </c>
      <c r="R35" s="127">
        <f t="shared" si="6"/>
        <v>36.792000000000002</v>
      </c>
      <c r="S35" s="127">
        <f t="shared" si="7"/>
        <v>36.792000000000002</v>
      </c>
      <c r="T35" s="128"/>
    </row>
    <row r="36" spans="1:20">
      <c r="A36" s="123">
        <v>28</v>
      </c>
      <c r="B36" s="124" t="s">
        <v>1014</v>
      </c>
      <c r="C36" s="125"/>
      <c r="D36" s="125"/>
      <c r="E36" s="129"/>
      <c r="F36" s="129"/>
      <c r="G36" s="129"/>
      <c r="H36" s="129"/>
      <c r="I36" s="129"/>
      <c r="J36" s="129">
        <v>1.758</v>
      </c>
      <c r="K36" s="129">
        <v>2.778</v>
      </c>
      <c r="L36" s="129">
        <v>3.6070000000000002</v>
      </c>
      <c r="M36" s="129">
        <v>2.1579999999999999</v>
      </c>
      <c r="N36" s="129">
        <v>2.5110000000000001</v>
      </c>
      <c r="O36" s="129">
        <v>2.4860000000000002</v>
      </c>
      <c r="P36" s="129">
        <v>3.0979999999999999</v>
      </c>
      <c r="Q36" s="127">
        <f t="shared" si="5"/>
        <v>0</v>
      </c>
      <c r="R36" s="127">
        <f t="shared" si="6"/>
        <v>18.396000000000001</v>
      </c>
      <c r="S36" s="127">
        <f t="shared" si="7"/>
        <v>18.396000000000001</v>
      </c>
      <c r="T36" s="128"/>
    </row>
    <row r="37" spans="1:20">
      <c r="A37" s="123">
        <v>29</v>
      </c>
      <c r="B37" s="124" t="s">
        <v>1015</v>
      </c>
      <c r="C37" s="125"/>
      <c r="D37" s="125"/>
      <c r="E37" s="129"/>
      <c r="F37" s="129"/>
      <c r="G37" s="129"/>
      <c r="H37" s="129"/>
      <c r="I37" s="129"/>
      <c r="J37" s="129">
        <v>5.9059999999999997</v>
      </c>
      <c r="K37" s="129">
        <v>9.3369999999999997</v>
      </c>
      <c r="L37" s="129">
        <v>12.12</v>
      </c>
      <c r="M37" s="129">
        <v>7.25</v>
      </c>
      <c r="N37" s="129">
        <v>8.4359999999999999</v>
      </c>
      <c r="O37" s="129">
        <v>8.3539999999999992</v>
      </c>
      <c r="P37" s="129">
        <v>10.41</v>
      </c>
      <c r="Q37" s="127">
        <f t="shared" si="5"/>
        <v>0</v>
      </c>
      <c r="R37" s="127">
        <f t="shared" si="6"/>
        <v>61.813000000000002</v>
      </c>
      <c r="S37" s="127">
        <f t="shared" si="7"/>
        <v>61.813000000000002</v>
      </c>
      <c r="T37" s="128"/>
    </row>
    <row r="38" spans="1:20">
      <c r="A38" s="123">
        <v>30</v>
      </c>
      <c r="B38" s="124" t="s">
        <v>1016</v>
      </c>
      <c r="C38" s="125"/>
      <c r="D38" s="125"/>
      <c r="E38" s="129"/>
      <c r="F38" s="129"/>
      <c r="G38" s="129"/>
      <c r="H38" s="129"/>
      <c r="I38" s="129"/>
      <c r="J38" s="129">
        <v>6.4729999999999999</v>
      </c>
      <c r="K38" s="129">
        <v>7.4960000000000004</v>
      </c>
      <c r="L38" s="129">
        <v>8.9860000000000007</v>
      </c>
      <c r="M38" s="129">
        <v>6.468</v>
      </c>
      <c r="N38" s="129">
        <v>7.0019999999999998</v>
      </c>
      <c r="O38" s="129">
        <v>7.1059999999999999</v>
      </c>
      <c r="P38" s="129">
        <v>8.3350000000000009</v>
      </c>
      <c r="Q38" s="127">
        <f t="shared" si="5"/>
        <v>0</v>
      </c>
      <c r="R38" s="127">
        <f t="shared" si="6"/>
        <v>51.866000000000007</v>
      </c>
      <c r="S38" s="127">
        <f t="shared" si="7"/>
        <v>51.866000000000007</v>
      </c>
      <c r="T38" s="128"/>
    </row>
    <row r="39" spans="1:20">
      <c r="A39" s="123">
        <v>31</v>
      </c>
      <c r="B39" s="124" t="s">
        <v>1021</v>
      </c>
      <c r="C39" s="129"/>
      <c r="D39" s="129"/>
      <c r="E39" s="129"/>
      <c r="F39" s="129"/>
      <c r="G39" s="129"/>
      <c r="H39" s="129"/>
      <c r="I39" s="129"/>
      <c r="J39" s="129">
        <f t="shared" ref="J39:P39" si="8">SUM(J31:J38)</f>
        <v>680.78199999999993</v>
      </c>
      <c r="K39" s="129">
        <f t="shared" si="8"/>
        <v>802.40499999999997</v>
      </c>
      <c r="L39" s="129">
        <f t="shared" si="8"/>
        <v>954.08399999999995</v>
      </c>
      <c r="M39" s="129">
        <f t="shared" si="8"/>
        <v>673.13700000000006</v>
      </c>
      <c r="N39" s="129">
        <f t="shared" si="8"/>
        <v>760.2349999999999</v>
      </c>
      <c r="O39" s="129">
        <f t="shared" si="8"/>
        <v>736.78099999999995</v>
      </c>
      <c r="P39" s="129">
        <f t="shared" si="8"/>
        <v>902.05299999999988</v>
      </c>
      <c r="Q39" s="127">
        <f t="shared" si="5"/>
        <v>0</v>
      </c>
      <c r="R39" s="127">
        <f t="shared" si="6"/>
        <v>5509.4769999999999</v>
      </c>
      <c r="S39" s="127">
        <f t="shared" si="7"/>
        <v>5509.4769999999999</v>
      </c>
      <c r="T39" s="128"/>
    </row>
    <row r="40" spans="1:20">
      <c r="A40" s="123">
        <v>32</v>
      </c>
      <c r="B40" s="133" t="s">
        <v>1017</v>
      </c>
      <c r="C40" s="129"/>
      <c r="D40" s="130"/>
      <c r="E40" s="130">
        <f>E29-E39</f>
        <v>0</v>
      </c>
      <c r="F40" s="130">
        <f t="shared" ref="F40:P40" si="9">F29-F39</f>
        <v>0</v>
      </c>
      <c r="G40" s="130">
        <f t="shared" si="9"/>
        <v>0</v>
      </c>
      <c r="H40" s="130">
        <f t="shared" si="9"/>
        <v>0</v>
      </c>
      <c r="I40" s="130">
        <f>I29-I39</f>
        <v>0</v>
      </c>
      <c r="J40" s="130">
        <f t="shared" si="9"/>
        <v>0</v>
      </c>
      <c r="K40" s="130">
        <f t="shared" si="9"/>
        <v>0</v>
      </c>
      <c r="L40" s="130">
        <f t="shared" si="9"/>
        <v>0</v>
      </c>
      <c r="M40" s="130">
        <f t="shared" si="9"/>
        <v>0</v>
      </c>
      <c r="N40" s="130">
        <f t="shared" si="9"/>
        <v>0</v>
      </c>
      <c r="O40" s="130">
        <f t="shared" si="9"/>
        <v>0</v>
      </c>
      <c r="P40" s="130">
        <f t="shared" si="9"/>
        <v>0</v>
      </c>
      <c r="Q40" s="127"/>
      <c r="R40" s="130">
        <f>R29-R39</f>
        <v>0</v>
      </c>
      <c r="S40" s="130">
        <f>S29-S39</f>
        <v>0</v>
      </c>
      <c r="T40" s="128"/>
    </row>
    <row r="42" spans="1:20">
      <c r="J42" s="135">
        <f t="shared" ref="J42:P42" si="10">SUM(J35:J38)</f>
        <v>17.651999999999997</v>
      </c>
      <c r="K42" s="135">
        <f t="shared" si="10"/>
        <v>25.167999999999999</v>
      </c>
      <c r="L42" s="135">
        <f t="shared" si="10"/>
        <v>31.927000000000003</v>
      </c>
      <c r="M42" s="135">
        <f t="shared" si="10"/>
        <v>20.192</v>
      </c>
      <c r="N42" s="135">
        <f t="shared" si="10"/>
        <v>22.97</v>
      </c>
      <c r="O42" s="135">
        <f t="shared" si="10"/>
        <v>22.917999999999999</v>
      </c>
      <c r="P42" s="135">
        <f t="shared" si="10"/>
        <v>28.04</v>
      </c>
    </row>
    <row r="44" spans="1:20">
      <c r="M44" s="135">
        <f>SUM(J39:P39)</f>
        <v>5509.4769999999999</v>
      </c>
    </row>
  </sheetData>
  <mergeCells count="5">
    <mergeCell ref="A1:T1"/>
    <mergeCell ref="A2:T2"/>
    <mergeCell ref="A3:T3"/>
    <mergeCell ref="C5:D5"/>
    <mergeCell ref="Q5:T5"/>
  </mergeCells>
  <pageMargins left="0.70866141732283472" right="0.70866141732283472" top="0.74803149606299213" bottom="0.74803149606299213" header="0.31496062992125984" footer="0.31496062992125984"/>
  <pageSetup paperSize="9" scale="29" orientation="landscape"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1:T74"/>
  <sheetViews>
    <sheetView topLeftCell="A58" zoomScale="140" zoomScaleNormal="140" workbookViewId="0">
      <selection activeCell="F78" sqref="F78"/>
    </sheetView>
  </sheetViews>
  <sheetFormatPr defaultColWidth="12.7109375" defaultRowHeight="15.75" customHeight="1"/>
  <cols>
    <col min="1" max="1" width="2.85546875" customWidth="1"/>
    <col min="2" max="2" width="19" customWidth="1"/>
    <col min="3" max="3" width="16.85546875" customWidth="1"/>
    <col min="4" max="4" width="17.140625" customWidth="1"/>
    <col min="5" max="5" width="13.7109375" customWidth="1"/>
    <col min="6" max="6" width="14.140625" bestFit="1" customWidth="1"/>
    <col min="8" max="8" width="16.7109375" customWidth="1"/>
    <col min="9" max="9" width="27.85546875" customWidth="1"/>
    <col min="10" max="10" width="10.85546875" customWidth="1"/>
    <col min="11" max="11" width="11.140625" customWidth="1"/>
    <col min="12" max="12" width="13.28515625" customWidth="1"/>
    <col min="13" max="13" width="10.28515625" customWidth="1"/>
  </cols>
  <sheetData>
    <row r="1" spans="2:20" ht="12.95">
      <c r="B1" s="5"/>
      <c r="J1" s="231" t="s">
        <v>1027</v>
      </c>
    </row>
    <row r="2" spans="2:20" ht="12.95">
      <c r="B2" s="6" t="s">
        <v>1028</v>
      </c>
      <c r="C2" s="7"/>
      <c r="D2" s="7"/>
      <c r="E2" s="7"/>
      <c r="F2" s="7"/>
      <c r="G2" s="7"/>
      <c r="H2" s="8"/>
      <c r="K2" s="231" t="s">
        <v>1029</v>
      </c>
    </row>
    <row r="3" spans="2:20" ht="15.75" customHeight="1">
      <c r="B3" s="9" t="s">
        <v>1030</v>
      </c>
      <c r="C3" s="10" t="s">
        <v>1031</v>
      </c>
      <c r="H3" s="11"/>
      <c r="K3" s="231" t="s">
        <v>1032</v>
      </c>
    </row>
    <row r="4" spans="2:20" ht="15.75" customHeight="1">
      <c r="B4" s="9" t="s">
        <v>1033</v>
      </c>
      <c r="C4" s="10" t="s">
        <v>1034</v>
      </c>
      <c r="H4" s="11"/>
      <c r="K4" s="231" t="s">
        <v>1035</v>
      </c>
    </row>
    <row r="5" spans="2:20" ht="15.75" customHeight="1">
      <c r="B5" s="9"/>
      <c r="C5" s="10" t="s">
        <v>1036</v>
      </c>
      <c r="H5" s="11"/>
      <c r="K5" s="231" t="s">
        <v>1037</v>
      </c>
    </row>
    <row r="6" spans="2:20" ht="15.75" customHeight="1">
      <c r="B6" s="9"/>
      <c r="C6" s="10" t="s">
        <v>1038</v>
      </c>
      <c r="H6" s="11"/>
      <c r="K6" s="188" t="s">
        <v>1039</v>
      </c>
      <c r="T6" s="88"/>
    </row>
    <row r="7" spans="2:20" ht="15.75" customHeight="1">
      <c r="B7" s="12" t="s">
        <v>1040</v>
      </c>
      <c r="C7" s="1284" t="s">
        <v>1041</v>
      </c>
      <c r="D7" s="1312"/>
      <c r="E7" s="1312"/>
      <c r="F7" s="1312"/>
      <c r="G7" s="1312"/>
      <c r="H7" s="1313"/>
      <c r="K7" s="9" t="s">
        <v>1042</v>
      </c>
      <c r="T7" s="11"/>
    </row>
    <row r="8" spans="2:20" ht="15.75" customHeight="1">
      <c r="J8" s="174" t="s">
        <v>1043</v>
      </c>
    </row>
    <row r="9" spans="2:20" ht="12.95">
      <c r="B9" s="6" t="s">
        <v>1043</v>
      </c>
      <c r="C9" s="7"/>
      <c r="D9" s="7"/>
      <c r="E9" s="7"/>
      <c r="F9" s="7"/>
      <c r="G9" s="7"/>
      <c r="H9" s="8"/>
      <c r="I9" s="174">
        <v>2022</v>
      </c>
      <c r="J9" s="176">
        <v>2023</v>
      </c>
      <c r="K9" s="176">
        <v>2024</v>
      </c>
      <c r="L9" s="176">
        <v>2025</v>
      </c>
      <c r="M9" s="176" t="s">
        <v>204</v>
      </c>
    </row>
    <row r="10" spans="2:20" ht="15.75" customHeight="1">
      <c r="B10" s="9" t="s">
        <v>1044</v>
      </c>
      <c r="E10" s="240" t="s">
        <v>1045</v>
      </c>
      <c r="H10" s="11"/>
      <c r="I10" s="231" t="s">
        <v>206</v>
      </c>
      <c r="J10" s="241" t="s">
        <v>207</v>
      </c>
      <c r="K10" s="241" t="s">
        <v>208</v>
      </c>
      <c r="L10" s="241" t="s">
        <v>208</v>
      </c>
      <c r="M10" s="241"/>
    </row>
    <row r="11" spans="2:20" ht="15.75" customHeight="1">
      <c r="B11" s="9"/>
      <c r="C11" s="10" t="s">
        <v>1046</v>
      </c>
      <c r="E11" s="99">
        <f>(Summary!D13+Summary!E13+Summary!F13)/32*12</f>
        <v>16499.790957788431</v>
      </c>
      <c r="F11" s="100"/>
      <c r="H11" s="11"/>
      <c r="I11" s="175">
        <f>'2023'!F50</f>
        <v>9511.9609999999993</v>
      </c>
      <c r="J11" s="177">
        <f>'2023'!F53</f>
        <v>6843.1460000000006</v>
      </c>
      <c r="K11" s="177">
        <f>'2024'!D43</f>
        <v>15259.007022550244</v>
      </c>
      <c r="L11" s="177">
        <f>'2025'!D45</f>
        <v>21897.289531552236</v>
      </c>
      <c r="M11" s="177">
        <f>SUM(J11:L11)</f>
        <v>43999.442554102483</v>
      </c>
    </row>
    <row r="12" spans="2:20" ht="15.75" customHeight="1" thickBot="1">
      <c r="B12" s="9"/>
      <c r="C12" s="10" t="s">
        <v>1047</v>
      </c>
      <c r="E12" s="99">
        <f>(Summary!B13+Summary!C13)/17*12</f>
        <v>6714.3254117647048</v>
      </c>
      <c r="F12" s="100"/>
      <c r="H12" s="11"/>
      <c r="J12" s="180">
        <f>(I11/12*7)</f>
        <v>5548.6439166666669</v>
      </c>
      <c r="K12" s="180">
        <f>I11*1.1</f>
        <v>10463.1571</v>
      </c>
      <c r="L12" s="180">
        <f>K12*1.1</f>
        <v>11509.472810000001</v>
      </c>
      <c r="M12" s="181">
        <f>SUM(J12:L12)</f>
        <v>27521.273826666671</v>
      </c>
    </row>
    <row r="13" spans="2:20" ht="15.75" customHeight="1" thickBot="1">
      <c r="B13" s="9"/>
      <c r="C13" s="10" t="s">
        <v>1048</v>
      </c>
      <c r="E13" s="101">
        <f>(E11-E12)/E12</f>
        <v>1.457401145449077</v>
      </c>
      <c r="F13" s="100"/>
      <c r="H13" s="11"/>
      <c r="I13" s="185" t="s">
        <v>1049</v>
      </c>
      <c r="J13" s="182">
        <f>J11-J12</f>
        <v>1294.5020833333338</v>
      </c>
      <c r="K13" s="183">
        <f>K11-K12</f>
        <v>4795.8499225502437</v>
      </c>
      <c r="L13" s="183">
        <f>L11-L12</f>
        <v>10387.816721552235</v>
      </c>
      <c r="M13" s="184">
        <f>M11-M12</f>
        <v>16478.168727435812</v>
      </c>
    </row>
    <row r="14" spans="2:20" ht="12.95">
      <c r="B14" s="9"/>
      <c r="C14" s="10" t="s">
        <v>1050</v>
      </c>
      <c r="E14" s="102">
        <f>E11-(E12+E13)</f>
        <v>9784.0081448782767</v>
      </c>
      <c r="F14" s="100"/>
      <c r="H14" s="11"/>
      <c r="I14" s="242" t="s">
        <v>19</v>
      </c>
      <c r="J14" s="186">
        <f>J13*40%</f>
        <v>517.80083333333357</v>
      </c>
      <c r="K14" s="186">
        <f>K13*40%</f>
        <v>1918.3399690200977</v>
      </c>
      <c r="L14" s="186">
        <f>L13*40%</f>
        <v>4155.1266886208941</v>
      </c>
      <c r="M14" s="186">
        <f>M13*40%</f>
        <v>6591.2674909743255</v>
      </c>
    </row>
    <row r="15" spans="2:20" ht="12.95">
      <c r="B15" s="9"/>
      <c r="C15" s="10" t="s">
        <v>217</v>
      </c>
      <c r="D15" s="10" t="s">
        <v>19</v>
      </c>
      <c r="E15" s="99">
        <f>((Summary!D5+Summary!E5+Summary!F5)/31*12)-((Summary!B5+Summary!C5)/19*12)</f>
        <v>3288.1545124228633</v>
      </c>
      <c r="F15" s="103">
        <f>E15</f>
        <v>3288.1545124228633</v>
      </c>
      <c r="H15" s="11"/>
      <c r="I15" s="242" t="s">
        <v>21</v>
      </c>
      <c r="J15" s="177">
        <f>J13*35%</f>
        <v>453.0757291666668</v>
      </c>
      <c r="K15" s="177">
        <f>K13*35%</f>
        <v>1678.5474728925851</v>
      </c>
      <c r="L15" s="177">
        <f>L13*35%</f>
        <v>3635.7358525432819</v>
      </c>
      <c r="M15" s="177">
        <f>M13*35%</f>
        <v>5767.3590546025334</v>
      </c>
    </row>
    <row r="16" spans="2:20" ht="15.75" customHeight="1">
      <c r="B16" s="9"/>
      <c r="D16" s="10" t="s">
        <v>1051</v>
      </c>
      <c r="E16" s="101">
        <f>E14-E15</f>
        <v>6495.8536324554134</v>
      </c>
      <c r="F16" s="100"/>
      <c r="H16" s="11"/>
      <c r="I16" s="242" t="s">
        <v>23</v>
      </c>
      <c r="J16" s="177">
        <f>J13-J14-J15</f>
        <v>323.62552083333338</v>
      </c>
      <c r="K16" s="177">
        <f>K13-K14-K15</f>
        <v>1198.9624806375609</v>
      </c>
      <c r="L16" s="177">
        <f>L13-L14-L15</f>
        <v>2596.9541803880593</v>
      </c>
      <c r="M16" s="177">
        <f>M13-M14-M15</f>
        <v>4119.542181858953</v>
      </c>
    </row>
    <row r="17" spans="2:13" ht="15.75" customHeight="1">
      <c r="B17" s="9"/>
      <c r="D17" s="10"/>
      <c r="E17" s="10"/>
      <c r="H17" s="11"/>
      <c r="I17" s="242" t="s">
        <v>311</v>
      </c>
      <c r="J17" s="177">
        <v>0</v>
      </c>
      <c r="K17" s="177">
        <v>0</v>
      </c>
      <c r="L17" s="177">
        <v>0</v>
      </c>
      <c r="M17" s="179">
        <v>0</v>
      </c>
    </row>
    <row r="18" spans="2:13" ht="12.95">
      <c r="B18" s="14" t="s">
        <v>1052</v>
      </c>
      <c r="H18" s="11"/>
      <c r="I18" s="172"/>
      <c r="J18" s="177"/>
      <c r="K18" s="177"/>
      <c r="L18" s="177"/>
      <c r="M18" s="179"/>
    </row>
    <row r="19" spans="2:13" ht="33.75" customHeight="1">
      <c r="B19" s="1285" t="s">
        <v>1039</v>
      </c>
      <c r="C19" s="1314"/>
      <c r="D19" s="1314"/>
      <c r="E19" s="1314"/>
      <c r="F19" s="1314"/>
      <c r="G19" s="1314"/>
      <c r="H19" s="1315"/>
      <c r="I19" s="173"/>
      <c r="J19" s="177"/>
      <c r="K19" s="177"/>
      <c r="L19" s="177"/>
      <c r="M19" s="179"/>
    </row>
    <row r="20" spans="2:13" ht="15.75" customHeight="1">
      <c r="B20" s="9" t="s">
        <v>1042</v>
      </c>
      <c r="H20" s="11"/>
      <c r="J20" s="173"/>
      <c r="K20" s="173"/>
      <c r="L20" s="173"/>
    </row>
    <row r="21" spans="2:13" ht="15.75" customHeight="1">
      <c r="B21" s="12"/>
      <c r="C21" s="15"/>
      <c r="D21" s="15"/>
      <c r="E21" s="15"/>
      <c r="F21" s="15"/>
      <c r="G21" s="15"/>
      <c r="H21" s="16"/>
      <c r="J21" s="173"/>
      <c r="K21" s="173"/>
      <c r="L21" s="173"/>
    </row>
    <row r="22" spans="2:13" ht="12.95">
      <c r="B22" s="5"/>
      <c r="J22" s="173"/>
      <c r="K22" s="173"/>
      <c r="L22" s="173"/>
    </row>
    <row r="23" spans="2:13" ht="12.95">
      <c r="B23" s="6" t="s">
        <v>1053</v>
      </c>
      <c r="C23" s="7"/>
      <c r="D23" s="7"/>
      <c r="E23" s="87" t="s">
        <v>1054</v>
      </c>
      <c r="F23" s="7"/>
      <c r="G23" s="7"/>
      <c r="H23" s="8"/>
      <c r="J23" s="173"/>
      <c r="K23" s="173"/>
      <c r="L23" s="173"/>
    </row>
    <row r="24" spans="2:13" ht="15.75" customHeight="1">
      <c r="B24" s="9" t="s">
        <v>1055</v>
      </c>
      <c r="E24" s="86" t="e">
        <f>('2023 ext borrowing'!D22+'2024 debt plan'!E4+'2025 debt plan'!G9+'2025 debt plan'!E10+'2025 debt plan'!E11)/1000000000</f>
        <v>#VALUE!</v>
      </c>
      <c r="H24" s="11"/>
    </row>
    <row r="25" spans="2:13" ht="15.75" customHeight="1">
      <c r="B25" s="9" t="s">
        <v>1056</v>
      </c>
      <c r="E25" s="95">
        <f>(1767610000000+1843670000000)/1400/1000000000</f>
        <v>2.5794857142857142</v>
      </c>
      <c r="H25" s="11"/>
    </row>
    <row r="26" spans="2:13" ht="15.75" customHeight="1">
      <c r="B26" s="9" t="s">
        <v>1057</v>
      </c>
      <c r="E26" s="96" t="e">
        <f>E24-E25</f>
        <v>#VALUE!</v>
      </c>
      <c r="H26" s="11"/>
    </row>
    <row r="27" spans="2:13" ht="15.75" customHeight="1">
      <c r="B27" s="9"/>
      <c r="H27" s="11"/>
    </row>
    <row r="28" spans="2:13" ht="15.75" customHeight="1">
      <c r="B28" s="9" t="s">
        <v>1058</v>
      </c>
      <c r="C28" s="1286" t="s">
        <v>1059</v>
      </c>
      <c r="D28" s="1314"/>
      <c r="E28" s="1314"/>
      <c r="F28" s="1314"/>
      <c r="G28" s="1314"/>
      <c r="H28" s="1315"/>
    </row>
    <row r="29" spans="2:13" ht="15.75" customHeight="1">
      <c r="B29" s="9"/>
      <c r="H29" s="11"/>
    </row>
    <row r="30" spans="2:13" ht="12.95">
      <c r="B30" s="17" t="s">
        <v>1060</v>
      </c>
      <c r="E30" s="240" t="s">
        <v>1061</v>
      </c>
      <c r="H30" s="11"/>
    </row>
    <row r="31" spans="2:13" ht="15.75" customHeight="1">
      <c r="B31" s="9"/>
      <c r="C31" s="10" t="s">
        <v>1062</v>
      </c>
      <c r="E31" s="99">
        <f>66267+80488</f>
        <v>146755</v>
      </c>
      <c r="F31" s="100"/>
      <c r="H31" s="11"/>
    </row>
    <row r="32" spans="2:13" ht="15.75" customHeight="1">
      <c r="B32" s="9"/>
      <c r="C32" s="10" t="s">
        <v>1063</v>
      </c>
      <c r="E32" s="104">
        <f>29898+48314</f>
        <v>78212</v>
      </c>
      <c r="F32" s="100"/>
      <c r="H32" s="11"/>
    </row>
    <row r="33" spans="2:13" ht="15.75" customHeight="1">
      <c r="B33" s="9"/>
      <c r="C33" s="10" t="s">
        <v>1064</v>
      </c>
      <c r="E33" s="105">
        <f>E31-E32</f>
        <v>68543</v>
      </c>
      <c r="F33" s="100"/>
      <c r="H33" s="11"/>
    </row>
    <row r="34" spans="2:13" ht="15.75" customHeight="1">
      <c r="B34" s="9"/>
      <c r="C34" s="10" t="s">
        <v>244</v>
      </c>
      <c r="D34" s="10" t="s">
        <v>562</v>
      </c>
      <c r="E34" s="99">
        <v>28000</v>
      </c>
      <c r="F34" s="100"/>
      <c r="H34" s="11"/>
      <c r="I34" s="17" t="s">
        <v>1060</v>
      </c>
      <c r="L34" s="240" t="s">
        <v>1061</v>
      </c>
    </row>
    <row r="35" spans="2:13" ht="15.75" customHeight="1">
      <c r="B35" s="9"/>
      <c r="D35" s="10" t="s">
        <v>1065</v>
      </c>
      <c r="E35" s="101">
        <f>51*(1400-400)</f>
        <v>51000</v>
      </c>
      <c r="F35" s="100"/>
      <c r="H35" s="11"/>
      <c r="I35" s="10" t="s">
        <v>1062</v>
      </c>
      <c r="L35" s="190">
        <f>66267+80488</f>
        <v>146755</v>
      </c>
      <c r="M35" s="173"/>
    </row>
    <row r="36" spans="2:13" ht="15.75" customHeight="1">
      <c r="B36" s="9"/>
      <c r="C36" s="10" t="s">
        <v>1066</v>
      </c>
      <c r="E36" s="105">
        <f>E33-(E34+E35)</f>
        <v>-10457</v>
      </c>
      <c r="F36" s="106">
        <f>E36</f>
        <v>-10457</v>
      </c>
      <c r="H36" s="11"/>
      <c r="I36" s="10" t="s">
        <v>1063</v>
      </c>
      <c r="L36" s="191">
        <f>29898+48314</f>
        <v>78212</v>
      </c>
      <c r="M36" s="173"/>
    </row>
    <row r="37" spans="2:13" ht="15.75" customHeight="1">
      <c r="B37" s="9"/>
      <c r="H37" s="11"/>
      <c r="I37" s="10" t="s">
        <v>1064</v>
      </c>
      <c r="L37" s="192">
        <f>L35-L36</f>
        <v>68543</v>
      </c>
      <c r="M37" s="173"/>
    </row>
    <row r="38" spans="2:13" ht="12.95">
      <c r="B38" s="9" t="s">
        <v>1058</v>
      </c>
      <c r="C38" s="10" t="s">
        <v>1067</v>
      </c>
      <c r="H38" s="11"/>
      <c r="I38" s="10" t="s">
        <v>244</v>
      </c>
      <c r="J38" s="10" t="s">
        <v>562</v>
      </c>
      <c r="L38" s="190">
        <v>22700</v>
      </c>
      <c r="M38" s="173"/>
    </row>
    <row r="39" spans="2:13" ht="12.95">
      <c r="B39" s="9"/>
      <c r="C39" s="10" t="s">
        <v>1068</v>
      </c>
      <c r="H39" s="11"/>
      <c r="J39" s="10" t="s">
        <v>1065</v>
      </c>
      <c r="L39" s="193">
        <f>43*(1400-400)</f>
        <v>43000</v>
      </c>
      <c r="M39" s="173"/>
    </row>
    <row r="40" spans="2:13" ht="12.95">
      <c r="B40" s="12"/>
      <c r="C40" s="15" t="s">
        <v>1069</v>
      </c>
      <c r="D40" s="15"/>
      <c r="E40" s="15"/>
      <c r="F40" s="15"/>
      <c r="G40" s="15"/>
      <c r="H40" s="16"/>
      <c r="I40" s="10" t="s">
        <v>1066</v>
      </c>
      <c r="L40" s="192">
        <f>L37-(L38+L39)</f>
        <v>2843</v>
      </c>
      <c r="M40" s="194">
        <f>L40</f>
        <v>2843</v>
      </c>
    </row>
    <row r="42" spans="2:13" ht="12.95">
      <c r="B42" s="6" t="s">
        <v>1070</v>
      </c>
      <c r="C42" s="7"/>
      <c r="D42" s="7"/>
      <c r="E42" s="7"/>
      <c r="F42" s="87" t="s">
        <v>1061</v>
      </c>
      <c r="G42" s="7"/>
      <c r="H42" s="8"/>
      <c r="I42" s="187" t="s">
        <v>1071</v>
      </c>
    </row>
    <row r="43" spans="2:13" ht="12.95">
      <c r="B43" s="9" t="s">
        <v>1072</v>
      </c>
      <c r="F43" s="107">
        <f>F15</f>
        <v>3288.1545124228633</v>
      </c>
      <c r="H43" s="11"/>
      <c r="I43" s="189" t="s">
        <v>1073</v>
      </c>
    </row>
    <row r="44" spans="2:13" ht="12.95">
      <c r="B44" s="9" t="s">
        <v>1074</v>
      </c>
      <c r="F44" s="107">
        <f>F36/31*12</f>
        <v>-4047.8709677419356</v>
      </c>
      <c r="H44" s="11"/>
      <c r="I44" s="243" t="s">
        <v>1075</v>
      </c>
    </row>
    <row r="45" spans="2:13" ht="12.95">
      <c r="B45" s="9" t="s">
        <v>1076</v>
      </c>
      <c r="F45" s="102">
        <f>SUM(F43:F44)</f>
        <v>-759.71645531907234</v>
      </c>
      <c r="H45" s="11"/>
      <c r="I45" s="243" t="s">
        <v>1077</v>
      </c>
    </row>
    <row r="46" spans="2:13" ht="12.95">
      <c r="B46" s="17"/>
      <c r="H46" s="11"/>
      <c r="I46" s="239" t="s">
        <v>1078</v>
      </c>
    </row>
    <row r="47" spans="2:13" ht="12.95">
      <c r="B47" s="9" t="s">
        <v>1079</v>
      </c>
      <c r="E47" s="94">
        <v>6</v>
      </c>
      <c r="H47" s="11"/>
      <c r="I47" s="239" t="s">
        <v>1080</v>
      </c>
    </row>
    <row r="48" spans="2:13" ht="12.95">
      <c r="B48" s="9" t="s">
        <v>1081</v>
      </c>
      <c r="E48" s="94">
        <v>5</v>
      </c>
      <c r="H48" s="11"/>
      <c r="I48" s="239" t="s">
        <v>1078</v>
      </c>
    </row>
    <row r="49" spans="2:9" ht="12.95">
      <c r="B49" s="9" t="s">
        <v>68</v>
      </c>
      <c r="E49" s="94">
        <v>2</v>
      </c>
      <c r="H49" s="11"/>
      <c r="I49" s="239" t="s">
        <v>1082</v>
      </c>
    </row>
    <row r="50" spans="2:9" ht="12.95">
      <c r="B50" s="9" t="s">
        <v>1083</v>
      </c>
      <c r="E50" s="94">
        <v>3</v>
      </c>
      <c r="H50" s="11"/>
      <c r="I50" s="239" t="s">
        <v>1084</v>
      </c>
    </row>
    <row r="51" spans="2:9" ht="12.95">
      <c r="B51" s="9" t="s">
        <v>1085</v>
      </c>
      <c r="E51" s="94">
        <v>4</v>
      </c>
      <c r="H51" s="11"/>
    </row>
    <row r="52" spans="2:9" ht="12.95">
      <c r="B52" s="9" t="s">
        <v>1086</v>
      </c>
      <c r="E52" s="94">
        <v>3</v>
      </c>
      <c r="H52" s="11"/>
      <c r="I52" s="9" t="s">
        <v>1079</v>
      </c>
    </row>
    <row r="53" spans="2:9" ht="12.95">
      <c r="B53" s="9" t="s">
        <v>1087</v>
      </c>
      <c r="E53" s="94">
        <v>5</v>
      </c>
      <c r="F53" s="5"/>
      <c r="H53" s="11"/>
      <c r="I53" s="9" t="s">
        <v>1081</v>
      </c>
    </row>
    <row r="54" spans="2:9" ht="12.95">
      <c r="B54" s="9" t="s">
        <v>311</v>
      </c>
      <c r="E54" s="94">
        <v>2</v>
      </c>
      <c r="F54" s="13">
        <f>SUM(E47:E54)</f>
        <v>30</v>
      </c>
      <c r="H54" s="11"/>
      <c r="I54" s="9" t="s">
        <v>68</v>
      </c>
    </row>
    <row r="55" spans="2:9" ht="12.95">
      <c r="B55" s="9"/>
      <c r="H55" s="11"/>
      <c r="I55" s="9" t="s">
        <v>1083</v>
      </c>
    </row>
    <row r="56" spans="2:9" ht="12.95">
      <c r="B56" s="12" t="s">
        <v>1088</v>
      </c>
      <c r="C56" s="15" t="s">
        <v>1089</v>
      </c>
      <c r="D56" s="15"/>
      <c r="E56" s="15"/>
      <c r="F56" s="15"/>
      <c r="G56" s="15"/>
      <c r="H56" s="16"/>
      <c r="I56" s="9" t="s">
        <v>1085</v>
      </c>
    </row>
    <row r="57" spans="2:9" ht="15.75" customHeight="1">
      <c r="I57" s="9" t="s">
        <v>1086</v>
      </c>
    </row>
    <row r="58" spans="2:9" ht="15.75" customHeight="1">
      <c r="I58" s="9" t="s">
        <v>1087</v>
      </c>
    </row>
    <row r="59" spans="2:9" ht="12.95">
      <c r="B59" s="6" t="s">
        <v>1090</v>
      </c>
      <c r="C59" s="7"/>
      <c r="D59" s="7"/>
      <c r="E59" s="7"/>
      <c r="F59" s="7"/>
      <c r="G59" s="7"/>
      <c r="H59" s="8"/>
      <c r="I59" s="9" t="s">
        <v>311</v>
      </c>
    </row>
    <row r="60" spans="2:9" ht="12.95">
      <c r="B60" s="9" t="s">
        <v>1091</v>
      </c>
      <c r="C60" s="18"/>
      <c r="D60" s="18" t="s">
        <v>19</v>
      </c>
      <c r="E60" s="18" t="s">
        <v>1092</v>
      </c>
      <c r="H60" s="11"/>
    </row>
    <row r="61" spans="2:9" ht="12.95">
      <c r="B61" s="9"/>
      <c r="C61" s="18" t="s">
        <v>1093</v>
      </c>
      <c r="D61" s="97">
        <v>0</v>
      </c>
      <c r="E61" s="97">
        <v>5</v>
      </c>
      <c r="H61" s="11"/>
    </row>
    <row r="62" spans="2:9" ht="12.95">
      <c r="B62" s="9"/>
      <c r="C62" s="18" t="s">
        <v>1094</v>
      </c>
      <c r="D62" s="97">
        <v>8</v>
      </c>
      <c r="E62" s="97">
        <v>7</v>
      </c>
      <c r="H62" s="11"/>
    </row>
    <row r="63" spans="2:9" ht="12.95">
      <c r="B63" s="9"/>
      <c r="C63" s="18" t="s">
        <v>1095</v>
      </c>
      <c r="D63" s="97">
        <v>8</v>
      </c>
      <c r="E63" s="97">
        <v>7</v>
      </c>
      <c r="H63" s="11"/>
    </row>
    <row r="64" spans="2:9" ht="12.95">
      <c r="B64" s="9"/>
      <c r="C64" s="18" t="s">
        <v>999</v>
      </c>
      <c r="D64" s="97">
        <v>1</v>
      </c>
      <c r="E64" s="97">
        <v>9</v>
      </c>
      <c r="H64" s="11"/>
    </row>
    <row r="65" spans="2:8" ht="12.95">
      <c r="B65" s="9"/>
      <c r="C65" s="18" t="s">
        <v>1096</v>
      </c>
      <c r="D65" s="97">
        <v>0</v>
      </c>
      <c r="E65" s="97">
        <v>3</v>
      </c>
      <c r="H65" s="11"/>
    </row>
    <row r="66" spans="2:8" ht="12.95">
      <c r="B66" s="9"/>
      <c r="E66" s="10"/>
      <c r="H66" s="11"/>
    </row>
    <row r="67" spans="2:8" ht="12.95">
      <c r="B67" s="9" t="s">
        <v>1097</v>
      </c>
      <c r="D67" s="18" t="s">
        <v>1098</v>
      </c>
      <c r="E67" s="18" t="s">
        <v>1099</v>
      </c>
      <c r="H67" s="11"/>
    </row>
    <row r="68" spans="2:8" ht="12.95">
      <c r="B68" s="9"/>
      <c r="D68" s="18" t="s">
        <v>1098</v>
      </c>
      <c r="E68" s="18" t="s">
        <v>1100</v>
      </c>
      <c r="H68" s="11"/>
    </row>
    <row r="69" spans="2:8" ht="12.95">
      <c r="B69" s="9"/>
      <c r="D69" s="18" t="s">
        <v>358</v>
      </c>
      <c r="E69" s="18" t="s">
        <v>358</v>
      </c>
      <c r="H69" s="11"/>
    </row>
    <row r="70" spans="2:8" ht="12.95">
      <c r="B70" s="19"/>
      <c r="C70" s="15"/>
      <c r="D70" s="15"/>
      <c r="E70" s="15"/>
      <c r="F70" s="15"/>
      <c r="G70" s="15"/>
      <c r="H70" s="16"/>
    </row>
    <row r="71" spans="2:8" ht="12.95">
      <c r="B71" s="5"/>
    </row>
    <row r="72" spans="2:8" ht="12.95">
      <c r="B72" s="5" t="s">
        <v>1101</v>
      </c>
    </row>
    <row r="73" spans="2:8" ht="12.95">
      <c r="B73" s="10" t="s">
        <v>1102</v>
      </c>
    </row>
    <row r="74" spans="2:8" ht="12.95">
      <c r="B74" s="20" t="s">
        <v>1103</v>
      </c>
    </row>
  </sheetData>
  <mergeCells count="3">
    <mergeCell ref="C7:H7"/>
    <mergeCell ref="B19:H19"/>
    <mergeCell ref="C28:H28"/>
  </mergeCells>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E4712-76AF-4D01-BEE2-D535C57419FE}">
  <dimension ref="A2:G41"/>
  <sheetViews>
    <sheetView topLeftCell="A20" zoomScale="120" zoomScaleNormal="120" workbookViewId="0">
      <selection activeCell="B39" sqref="B39"/>
    </sheetView>
  </sheetViews>
  <sheetFormatPr defaultColWidth="8.7109375" defaultRowHeight="15"/>
  <cols>
    <col min="1" max="1" width="31.28515625" style="281" customWidth="1"/>
    <col min="2" max="2" width="18.85546875" style="281" bestFit="1" customWidth="1"/>
    <col min="3" max="3" width="20.28515625" style="281" bestFit="1" customWidth="1"/>
    <col min="4" max="4" width="17.85546875" style="281" customWidth="1"/>
    <col min="5" max="5" width="11.28515625" style="281" customWidth="1"/>
    <col min="6" max="6" width="12.42578125" style="281" customWidth="1"/>
    <col min="7" max="7" width="10.140625" style="281" bestFit="1" customWidth="1"/>
    <col min="8" max="16384" width="8.7109375" style="281"/>
  </cols>
  <sheetData>
    <row r="2" spans="1:7" ht="18" hidden="1">
      <c r="A2" s="280"/>
      <c r="B2" s="1287" t="s">
        <v>1104</v>
      </c>
      <c r="C2" s="1287"/>
      <c r="D2" s="1287" t="s">
        <v>1105</v>
      </c>
      <c r="E2" s="1287"/>
      <c r="F2" s="1287"/>
    </row>
    <row r="3" spans="1:7" hidden="1">
      <c r="A3" s="280"/>
      <c r="B3" s="282">
        <v>2022</v>
      </c>
      <c r="C3" s="282" t="s">
        <v>346</v>
      </c>
      <c r="D3" s="282" t="s">
        <v>347</v>
      </c>
      <c r="E3" s="282">
        <v>2024</v>
      </c>
      <c r="F3" s="282">
        <v>2025</v>
      </c>
    </row>
    <row r="4" spans="1:7" ht="5.45" hidden="1" customHeight="1">
      <c r="A4" s="280"/>
      <c r="B4" s="280"/>
      <c r="C4" s="280"/>
      <c r="D4" s="280"/>
      <c r="E4" s="280"/>
      <c r="F4" s="280"/>
    </row>
    <row r="5" spans="1:7" hidden="1">
      <c r="A5" s="280" t="s">
        <v>19</v>
      </c>
      <c r="B5" s="283">
        <f>'2022'!R31</f>
        <v>1995.5150000000001</v>
      </c>
      <c r="C5" s="283">
        <f>SUM('2023'!E31:I31)</f>
        <v>1365.48</v>
      </c>
      <c r="D5" s="283">
        <f>SUM('2023'!J31:P31)</f>
        <v>2383.527</v>
      </c>
      <c r="E5" s="283">
        <f>'2024'!R31</f>
        <v>4570.3257554816691</v>
      </c>
      <c r="F5" s="283">
        <f>'2025'!R31</f>
        <v>7024.2750858212521</v>
      </c>
      <c r="G5" s="284"/>
    </row>
    <row r="6" spans="1:7" hidden="1">
      <c r="A6" s="280" t="s">
        <v>340</v>
      </c>
      <c r="B6" s="283">
        <f>'2022'!R32</f>
        <v>1736.7479999999998</v>
      </c>
      <c r="C6" s="283">
        <f>SUM('2023'!E32:I32)</f>
        <v>1307.8420000000001</v>
      </c>
      <c r="D6" s="283">
        <f>SUM('2023'!J32:P32)</f>
        <v>2223.0549999999998</v>
      </c>
      <c r="E6" s="283">
        <f>'2024'!R32</f>
        <v>5186.0895659943053</v>
      </c>
      <c r="F6" s="283">
        <f>'2025'!R32</f>
        <v>7315.037118353006</v>
      </c>
      <c r="G6" s="284"/>
    </row>
    <row r="7" spans="1:7" hidden="1">
      <c r="A7" s="280" t="s">
        <v>348</v>
      </c>
      <c r="B7" s="283">
        <f>'2022'!R33</f>
        <v>1285.4859999999999</v>
      </c>
      <c r="C7" s="283">
        <f>SUM('2023'!E33:I33)</f>
        <v>963.89599999999996</v>
      </c>
      <c r="D7" s="283">
        <f>SUM('2023'!J33:P33)</f>
        <v>1637.5409999999999</v>
      </c>
      <c r="E7" s="283">
        <f>'2024'!R33</f>
        <v>3774.3967044361793</v>
      </c>
      <c r="F7" s="283">
        <f>'2025'!R33</f>
        <v>5350.5354092831813</v>
      </c>
      <c r="G7" s="284"/>
    </row>
    <row r="8" spans="1:7" hidden="1">
      <c r="A8" s="280" t="s">
        <v>349</v>
      </c>
      <c r="B8" s="283">
        <f>'2022'!R34</f>
        <v>322.86099999999999</v>
      </c>
      <c r="C8" s="283">
        <f>SUM('2023'!E34:I34)</f>
        <v>250.16800000000001</v>
      </c>
      <c r="D8" s="283">
        <f>SUM('2023'!J34:P34)</f>
        <v>398.04499999999996</v>
      </c>
      <c r="E8" s="283">
        <f>'2024'!R34</f>
        <v>1347.3345236513164</v>
      </c>
      <c r="F8" s="283">
        <f>'2025'!R34</f>
        <v>1618.8825443904991</v>
      </c>
      <c r="G8" s="284"/>
    </row>
    <row r="9" spans="1:7" hidden="1">
      <c r="A9" s="280" t="s">
        <v>350</v>
      </c>
      <c r="B9" s="283">
        <f>'2022'!R35</f>
        <v>36.792000000000002</v>
      </c>
      <c r="C9" s="283">
        <f>SUM('2023'!E35:I35)</f>
        <v>24.542000000000002</v>
      </c>
      <c r="D9" s="283">
        <f>SUM('2023'!J35:P35)</f>
        <v>42.932000000000002</v>
      </c>
      <c r="E9" s="283">
        <f>'2024'!R35</f>
        <v>76.020046540176708</v>
      </c>
      <c r="F9" s="283">
        <f>'2025'!R35</f>
        <v>121.31298862662871</v>
      </c>
      <c r="G9" s="284"/>
    </row>
    <row r="10" spans="1:7" hidden="1">
      <c r="A10" s="280" t="s">
        <v>351</v>
      </c>
      <c r="B10" s="283">
        <f>'2022'!R36</f>
        <v>18.396000000000001</v>
      </c>
      <c r="C10" s="283">
        <f>SUM('2023'!E36:I36)</f>
        <v>12.270999999999999</v>
      </c>
      <c r="D10" s="283">
        <f>SUM('2023'!J36:P36)</f>
        <v>21.467000000000002</v>
      </c>
      <c r="E10" s="283">
        <f>'2024'!R36</f>
        <v>38.010023270086108</v>
      </c>
      <c r="F10" s="283">
        <f>'2025'!R36</f>
        <v>60.779246173154306</v>
      </c>
      <c r="G10" s="284"/>
    </row>
    <row r="11" spans="1:7" hidden="1">
      <c r="A11" s="280" t="s">
        <v>352</v>
      </c>
      <c r="B11" s="283">
        <f>'2022'!R37</f>
        <v>61.813000000000002</v>
      </c>
      <c r="C11" s="283">
        <f>SUM('2023'!E37:I37)</f>
        <v>41.231000000000002</v>
      </c>
      <c r="D11" s="283">
        <f>SUM('2023'!J37:P37)</f>
        <v>72.128999999999991</v>
      </c>
      <c r="E11" s="283">
        <f>'2024'!R37</f>
        <v>127.71367818749358</v>
      </c>
      <c r="F11" s="283">
        <f>'2025'!R37</f>
        <v>203.51612650350293</v>
      </c>
      <c r="G11" s="284"/>
    </row>
    <row r="12" spans="1:7" hidden="1">
      <c r="A12" s="280" t="s">
        <v>353</v>
      </c>
      <c r="B12" s="283">
        <f>'2022'!R38</f>
        <v>51.866000000000007</v>
      </c>
      <c r="C12" s="283">
        <f>SUM('2023'!E38:I38)</f>
        <v>37.054000000000002</v>
      </c>
      <c r="D12" s="283">
        <f>SUM('2023'!J38:P38)</f>
        <v>64.45</v>
      </c>
      <c r="E12" s="283">
        <f>'2024'!R38</f>
        <v>139.11672498901959</v>
      </c>
      <c r="F12" s="283">
        <f>'2025'!R38</f>
        <v>202.9510124010113</v>
      </c>
      <c r="G12" s="284"/>
    </row>
    <row r="13" spans="1:7" hidden="1">
      <c r="A13" s="282" t="s">
        <v>204</v>
      </c>
      <c r="B13" s="285">
        <f>SUM(B5:B12)</f>
        <v>5509.4769999999999</v>
      </c>
      <c r="C13" s="285">
        <f>SUM(C5:C12)</f>
        <v>4002.4840000000004</v>
      </c>
      <c r="D13" s="285">
        <f>SUM(D5:D12)</f>
        <v>6843.1459999999997</v>
      </c>
      <c r="E13" s="285">
        <f>SUM(E5:E12)</f>
        <v>15259.007022550248</v>
      </c>
      <c r="F13" s="285">
        <f>SUM(F5:F12)</f>
        <v>21897.289531552236</v>
      </c>
    </row>
    <row r="14" spans="1:7">
      <c r="B14" s="292"/>
      <c r="C14" s="292"/>
      <c r="D14" s="292"/>
      <c r="E14" s="292"/>
      <c r="F14" s="292"/>
    </row>
    <row r="16" spans="1:7">
      <c r="A16" s="287" t="s">
        <v>1106</v>
      </c>
      <c r="B16" s="291" t="s">
        <v>555</v>
      </c>
      <c r="C16" s="280"/>
    </row>
    <row r="17" spans="1:3">
      <c r="A17" s="281">
        <v>2018</v>
      </c>
      <c r="B17" s="286">
        <v>5038.3329999999996</v>
      </c>
    </row>
    <row r="18" spans="1:3">
      <c r="A18" s="281">
        <v>2019</v>
      </c>
      <c r="B18" s="286">
        <v>8416.2610000000004</v>
      </c>
    </row>
    <row r="19" spans="1:3">
      <c r="A19" s="281">
        <v>2020</v>
      </c>
      <c r="B19" s="286">
        <v>12809.144</v>
      </c>
    </row>
    <row r="20" spans="1:3">
      <c r="A20" s="281">
        <v>2021</v>
      </c>
      <c r="B20" s="286">
        <v>17106.485000000001</v>
      </c>
    </row>
    <row r="21" spans="1:3">
      <c r="A21" s="281">
        <v>2022</v>
      </c>
      <c r="B21" s="286">
        <v>23175.185000000001</v>
      </c>
    </row>
    <row r="22" spans="1:3">
      <c r="A22" s="281">
        <v>2023</v>
      </c>
      <c r="B22" s="286">
        <v>7862.3220000000001</v>
      </c>
    </row>
    <row r="23" spans="1:3">
      <c r="A23" s="281">
        <v>2024</v>
      </c>
      <c r="B23" s="286">
        <v>3156.654</v>
      </c>
    </row>
    <row r="24" spans="1:3">
      <c r="A24" s="281">
        <v>2025</v>
      </c>
      <c r="B24" s="286">
        <v>2896.8159999999998</v>
      </c>
    </row>
    <row r="25" spans="1:3">
      <c r="B25" s="286"/>
    </row>
    <row r="26" spans="1:3">
      <c r="A26" s="281" t="s">
        <v>1107</v>
      </c>
      <c r="B26" s="286">
        <f>AVERAGE(B17:B22)</f>
        <v>12401.288333333332</v>
      </c>
    </row>
    <row r="29" spans="1:3">
      <c r="A29" s="288" t="s">
        <v>1108</v>
      </c>
      <c r="B29" s="278" t="s">
        <v>1109</v>
      </c>
      <c r="C29" s="290" t="s">
        <v>1110</v>
      </c>
    </row>
    <row r="30" spans="1:3">
      <c r="A30" s="279" t="s">
        <v>1111</v>
      </c>
      <c r="B30" s="294">
        <f>AVERAGE('Wage Adjustment'!D16:L16)</f>
        <v>404592780522.09784</v>
      </c>
      <c r="C30" s="295"/>
    </row>
    <row r="31" spans="1:3">
      <c r="A31" s="279" t="s">
        <v>1112</v>
      </c>
      <c r="B31" s="294">
        <f>AVERAGE('Wage Adjustment'!E24:Q24)</f>
        <v>533735846281.04321</v>
      </c>
      <c r="C31" s="295">
        <f>(B31-$B$30)*12</f>
        <v>1549716789107.3445</v>
      </c>
    </row>
    <row r="32" spans="1:3">
      <c r="A32" s="279" t="s">
        <v>1113</v>
      </c>
      <c r="B32" s="294">
        <f>AVERAGE('Wage Adjustment'!D33:O33)</f>
        <v>810916826836.3197</v>
      </c>
      <c r="C32" s="295">
        <f>(B32-$B$30)*12</f>
        <v>4875888555770.6621</v>
      </c>
    </row>
    <row r="35" spans="1:5">
      <c r="A35" s="287" t="s">
        <v>1114</v>
      </c>
      <c r="B35" s="287">
        <v>2022</v>
      </c>
      <c r="C35" s="287">
        <v>2023</v>
      </c>
      <c r="D35" s="287">
        <v>2024</v>
      </c>
      <c r="E35" s="287">
        <v>2025</v>
      </c>
    </row>
    <row r="36" spans="1:5">
      <c r="A36" s="281" t="s">
        <v>19</v>
      </c>
      <c r="B36" s="286">
        <f>'2022'!R31</f>
        <v>1995.5150000000001</v>
      </c>
      <c r="C36" s="286">
        <f>'2023'!R31</f>
        <v>3749.0070000000005</v>
      </c>
      <c r="D36" s="286">
        <f>'2024'!R31</f>
        <v>4570.3257554816691</v>
      </c>
      <c r="E36" s="286">
        <f>'2025'!R31</f>
        <v>7024.2750858212521</v>
      </c>
    </row>
    <row r="37" spans="1:5">
      <c r="A37" s="281" t="s">
        <v>340</v>
      </c>
      <c r="B37" s="286">
        <f>'2022'!R32</f>
        <v>1736.7479999999998</v>
      </c>
      <c r="C37" s="286">
        <f>'2023'!R32</f>
        <v>3530.8970000000004</v>
      </c>
      <c r="D37" s="286">
        <f>'2024'!R32</f>
        <v>5186.0895659943053</v>
      </c>
      <c r="E37" s="286">
        <f>'2025'!R32</f>
        <v>7315.037118353006</v>
      </c>
    </row>
    <row r="38" spans="1:5">
      <c r="A38" s="281" t="s">
        <v>341</v>
      </c>
      <c r="B38" s="286">
        <f>'2022'!R33</f>
        <v>1285.4859999999999</v>
      </c>
      <c r="C38" s="286">
        <f>'2023'!R33</f>
        <v>2601.4369999999999</v>
      </c>
      <c r="D38" s="286">
        <f>'2024'!R33</f>
        <v>3774.3967044361793</v>
      </c>
      <c r="E38" s="286">
        <f>'2025'!R33</f>
        <v>5350.5354092831813</v>
      </c>
    </row>
    <row r="39" spans="1:5" ht="15.95" thickBot="1">
      <c r="A39" s="281" t="s">
        <v>204</v>
      </c>
      <c r="B39" s="289">
        <f>SUM(B36:B38)</f>
        <v>5017.7489999999998</v>
      </c>
      <c r="C39" s="289">
        <f t="shared" ref="C39:E39" si="0">SUM(C36:C38)</f>
        <v>9881.3410000000003</v>
      </c>
      <c r="D39" s="289">
        <f t="shared" si="0"/>
        <v>13530.812025912155</v>
      </c>
      <c r="E39" s="289">
        <f t="shared" si="0"/>
        <v>19689.847613457438</v>
      </c>
    </row>
    <row r="40" spans="1:5" ht="15.95" thickTop="1">
      <c r="B40" s="286"/>
    </row>
    <row r="41" spans="1:5">
      <c r="A41" s="281" t="s">
        <v>1115</v>
      </c>
      <c r="B41" s="296">
        <v>500000000</v>
      </c>
    </row>
  </sheetData>
  <mergeCells count="2">
    <mergeCell ref="B2:C2"/>
    <mergeCell ref="D2:F2"/>
  </mergeCells>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2FA40-6854-42CF-9E2C-F9D16F16D2DD}">
  <dimension ref="A2:F21"/>
  <sheetViews>
    <sheetView showGridLines="0" zoomScaleNormal="100" workbookViewId="0">
      <selection activeCell="B51" sqref="B51"/>
    </sheetView>
  </sheetViews>
  <sheetFormatPr defaultColWidth="8.7109375" defaultRowHeight="15"/>
  <cols>
    <col min="1" max="1" width="4" style="21" customWidth="1"/>
    <col min="2" max="2" width="34" style="21" customWidth="1"/>
    <col min="3" max="3" width="17" style="21" customWidth="1"/>
    <col min="4" max="5" width="18" style="21" customWidth="1"/>
    <col min="6" max="6" width="14" style="21" customWidth="1"/>
    <col min="7" max="16384" width="8.7109375" style="21"/>
  </cols>
  <sheetData>
    <row r="2" spans="1:6" ht="18">
      <c r="B2" s="1288" t="s">
        <v>1116</v>
      </c>
      <c r="C2" s="1288"/>
      <c r="D2" s="1288"/>
      <c r="E2" s="1288"/>
      <c r="F2" s="1288"/>
    </row>
    <row r="3" spans="1:6" ht="25.5" customHeight="1">
      <c r="B3" s="1289" t="s">
        <v>1117</v>
      </c>
      <c r="C3" s="1289"/>
      <c r="D3" s="1289"/>
      <c r="E3" s="1289"/>
      <c r="F3" s="1289"/>
    </row>
    <row r="5" spans="1:6" ht="31.5" customHeight="1">
      <c r="A5" s="22"/>
      <c r="B5" s="22" t="s">
        <v>1118</v>
      </c>
      <c r="C5" s="23" t="s">
        <v>1119</v>
      </c>
      <c r="D5" s="23" t="s">
        <v>1120</v>
      </c>
      <c r="E5" s="23" t="s">
        <v>1121</v>
      </c>
      <c r="F5" s="23" t="s">
        <v>1122</v>
      </c>
    </row>
    <row r="6" spans="1:6">
      <c r="B6" s="24" t="s">
        <v>1123</v>
      </c>
      <c r="C6" s="25">
        <f>'[26]Source Data'!E7+'[26]Source Data'!F7+'[26]Source Data'!G7</f>
        <v>13978.128000000001</v>
      </c>
      <c r="D6" s="25">
        <f>(('[26]Source Data'!C7+'[26]Source Data'!D7)/('[26]Source Data'!$C$17+'[26]Source Data'!$D$17))*('[26]Source Data'!$E$17+'[26]Source Data'!$F$17+'[26]Source Data'!$G$17)</f>
        <v>6128.873235294117</v>
      </c>
      <c r="E6" s="26">
        <f t="shared" ref="E6:E13" si="0">C6-D6</f>
        <v>7849.2547647058836</v>
      </c>
      <c r="F6" s="27">
        <f t="shared" ref="F6:F14" si="1">E6/1000</f>
        <v>7.8492547647058837</v>
      </c>
    </row>
    <row r="7" spans="1:6">
      <c r="B7" s="28" t="s">
        <v>21</v>
      </c>
      <c r="C7" s="29">
        <f>'[26]Source Data'!E8+'[26]Source Data'!F8+'[26]Source Data'!G8</f>
        <v>14724.182000000001</v>
      </c>
      <c r="D7" s="29">
        <f>(('[26]Source Data'!C8+'[26]Source Data'!D8)/('[26]Source Data'!$C$17+'[26]Source Data'!$D$17))*('[26]Source Data'!$E$17+'[26]Source Data'!$F$17+'[26]Source Data'!$G$17)</f>
        <v>5551.8994117647062</v>
      </c>
      <c r="E7" s="30">
        <f t="shared" si="0"/>
        <v>9172.2825882352954</v>
      </c>
      <c r="F7" s="31">
        <f t="shared" si="1"/>
        <v>9.1722825882352961</v>
      </c>
    </row>
    <row r="8" spans="1:6">
      <c r="B8" s="24" t="s">
        <v>1124</v>
      </c>
      <c r="C8" s="25">
        <f>'[26]Source Data'!E9+'[26]Source Data'!F9+'[26]Source Data'!G9</f>
        <v>10762.473</v>
      </c>
      <c r="D8" s="25">
        <f>(('[26]Source Data'!C9+'[26]Source Data'!D9)/('[26]Source Data'!$C$17+'[26]Source Data'!$D$17))*('[26]Source Data'!$E$17+'[26]Source Data'!$F$17+'[26]Source Data'!$G$17)</f>
        <v>4101.8142352941177</v>
      </c>
      <c r="E8" s="26">
        <f t="shared" si="0"/>
        <v>6660.6587647058823</v>
      </c>
      <c r="F8" s="27">
        <f t="shared" si="1"/>
        <v>6.6606587647058824</v>
      </c>
    </row>
    <row r="9" spans="1:6">
      <c r="B9" s="28" t="s">
        <v>349</v>
      </c>
      <c r="C9" s="29">
        <f>'[26]Source Data'!E10+'[26]Source Data'!F10+'[26]Source Data'!G10</f>
        <v>3364.2629999999999</v>
      </c>
      <c r="D9" s="29">
        <f>(('[26]Source Data'!C10+'[26]Source Data'!D10)/('[26]Source Data'!$C$17+'[26]Source Data'!$D$17))*('[26]Source Data'!$E$17+'[26]Source Data'!$F$17+'[26]Source Data'!$G$17)</f>
        <v>1044.9352352941175</v>
      </c>
      <c r="E9" s="30">
        <f t="shared" si="0"/>
        <v>2319.3277647058821</v>
      </c>
      <c r="F9" s="31">
        <f t="shared" si="1"/>
        <v>2.3193277647058821</v>
      </c>
    </row>
    <row r="10" spans="1:6">
      <c r="B10" s="24" t="s">
        <v>1125</v>
      </c>
      <c r="C10" s="25">
        <f>'[26]Source Data'!E11+'[26]Source Data'!F11+'[26]Source Data'!G11</f>
        <v>240.26499999999999</v>
      </c>
      <c r="D10" s="25">
        <f>(('[26]Source Data'!C11+'[26]Source Data'!D11)/('[26]Source Data'!$C$17+'[26]Source Data'!$D$17))*('[26]Source Data'!$E$17+'[26]Source Data'!$F$17+'[26]Source Data'!$G$17)</f>
        <v>111.84435294117648</v>
      </c>
      <c r="E10" s="26">
        <f t="shared" si="0"/>
        <v>128.4206470588235</v>
      </c>
      <c r="F10" s="27">
        <f t="shared" si="1"/>
        <v>0.1284206470588235</v>
      </c>
    </row>
    <row r="11" spans="1:6">
      <c r="B11" s="28" t="s">
        <v>1126</v>
      </c>
      <c r="C11" s="29">
        <f>'[26]Source Data'!E12+'[26]Source Data'!F12+'[26]Source Data'!G12</f>
        <v>120.256</v>
      </c>
      <c r="D11" s="29">
        <f>(('[26]Source Data'!C12+'[26]Source Data'!D12)/('[26]Source Data'!$C$17+'[26]Source Data'!$D$17))*('[26]Source Data'!$E$17+'[26]Source Data'!$F$17+'[26]Source Data'!$G$17)</f>
        <v>55.922176470588241</v>
      </c>
      <c r="E11" s="30">
        <f t="shared" si="0"/>
        <v>64.33382352941176</v>
      </c>
      <c r="F11" s="31">
        <f t="shared" si="1"/>
        <v>6.4333823529411763E-2</v>
      </c>
    </row>
    <row r="12" spans="1:6">
      <c r="B12" s="24" t="s">
        <v>1127</v>
      </c>
      <c r="C12" s="25">
        <f>'[26]Source Data'!E13+'[26]Source Data'!F13+'[26]Source Data'!G13</f>
        <v>403.35900000000004</v>
      </c>
      <c r="D12" s="25">
        <f>(('[26]Source Data'!C13+'[26]Source Data'!D13)/('[26]Source Data'!$C$17+'[26]Source Data'!$D$17))*('[26]Source Data'!$E$17+'[26]Source Data'!$F$17+'[26]Source Data'!$G$17)</f>
        <v>187.90376470588237</v>
      </c>
      <c r="E12" s="26">
        <f t="shared" si="0"/>
        <v>215.45523529411767</v>
      </c>
      <c r="F12" s="27">
        <f t="shared" si="1"/>
        <v>0.21545523529411767</v>
      </c>
    </row>
    <row r="13" spans="1:6">
      <c r="B13" s="28" t="s">
        <v>353</v>
      </c>
      <c r="C13" s="29">
        <f>'[26]Source Data'!E14+'[26]Source Data'!F14+'[26]Source Data'!G14</f>
        <v>406.51800000000003</v>
      </c>
      <c r="D13" s="29">
        <f>(('[26]Source Data'!C14+'[26]Source Data'!D14)/('[26]Source Data'!$C$17+'[26]Source Data'!$D$17))*('[26]Source Data'!$E$17+'[26]Source Data'!$F$17+'[26]Source Data'!$G$17)</f>
        <v>162.14823529411765</v>
      </c>
      <c r="E13" s="30">
        <f t="shared" si="0"/>
        <v>244.36976470588237</v>
      </c>
      <c r="F13" s="31">
        <f t="shared" si="1"/>
        <v>0.24436976470588237</v>
      </c>
    </row>
    <row r="14" spans="1:6">
      <c r="B14" s="32" t="s">
        <v>1128</v>
      </c>
      <c r="C14" s="33">
        <f>SUM(C6:C13)</f>
        <v>43999.444000000003</v>
      </c>
      <c r="D14" s="33">
        <f>SUM(D6:D13)</f>
        <v>17345.340647058823</v>
      </c>
      <c r="E14" s="33">
        <f>SUM(E6:E13)</f>
        <v>26654.103352941183</v>
      </c>
      <c r="F14" s="34">
        <f t="shared" si="1"/>
        <v>26.654103352941185</v>
      </c>
    </row>
    <row r="15" spans="1:6">
      <c r="B15" s="21" t="s">
        <v>1129</v>
      </c>
      <c r="C15" s="225">
        <f>C6/C14</f>
        <v>0.31768874170319061</v>
      </c>
      <c r="D15" s="225">
        <f>D6/D14</f>
        <v>0.35334406858901118</v>
      </c>
      <c r="E15" s="225">
        <f>E6/E14</f>
        <v>0.29448579307920131</v>
      </c>
      <c r="F15" s="225">
        <f>F6/F14</f>
        <v>0.29448579307920131</v>
      </c>
    </row>
    <row r="16" spans="1:6" ht="39.75" customHeight="1">
      <c r="B16" s="1290" t="s">
        <v>1130</v>
      </c>
      <c r="C16" s="1290"/>
      <c r="D16" s="1290"/>
      <c r="E16" s="1290"/>
      <c r="F16" s="1290"/>
    </row>
    <row r="17" spans="2:6">
      <c r="B17" s="1290"/>
      <c r="C17" s="1290"/>
      <c r="D17" s="1290"/>
      <c r="E17" s="1290"/>
      <c r="F17" s="1290"/>
    </row>
    <row r="19" spans="2:6" ht="15" customHeight="1">
      <c r="B19" s="1291" t="s">
        <v>1131</v>
      </c>
      <c r="C19" s="1291"/>
      <c r="D19" s="1291"/>
      <c r="E19" s="1291"/>
      <c r="F19" s="1291"/>
    </row>
    <row r="20" spans="2:6">
      <c r="B20" s="1291"/>
      <c r="C20" s="1291"/>
      <c r="D20" s="1291"/>
      <c r="E20" s="1291"/>
      <c r="F20" s="1291"/>
    </row>
    <row r="21" spans="2:6">
      <c r="B21" s="1291"/>
      <c r="C21" s="1291"/>
      <c r="D21" s="1291"/>
      <c r="E21" s="1291"/>
      <c r="F21" s="1291"/>
    </row>
  </sheetData>
  <mergeCells count="4">
    <mergeCell ref="B2:F2"/>
    <mergeCell ref="B3:F3"/>
    <mergeCell ref="B16:F17"/>
    <mergeCell ref="B19:F21"/>
  </mergeCells>
  <pageMargins left="0.75" right="0.75" top="1" bottom="1" header="0.511811023622047" footer="0.511811023622047"/>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8CD47-D1A0-F444-B31A-9EA04352E544}">
  <sheetPr>
    <pageSetUpPr fitToPage="1"/>
  </sheetPr>
  <dimension ref="A1:E16"/>
  <sheetViews>
    <sheetView showGridLines="0" zoomScale="90" zoomScaleNormal="90" workbookViewId="0">
      <selection activeCell="C23" sqref="C23"/>
    </sheetView>
  </sheetViews>
  <sheetFormatPr defaultColWidth="8.7109375" defaultRowHeight="15"/>
  <cols>
    <col min="1" max="1" width="80.140625" style="21" bestFit="1" customWidth="1"/>
    <col min="2" max="2" width="17.28515625" style="21" bestFit="1" customWidth="1"/>
    <col min="3" max="4" width="18.7109375" style="21" bestFit="1" customWidth="1"/>
    <col min="5" max="5" width="17.28515625" style="21" bestFit="1" customWidth="1"/>
    <col min="6" max="8" width="8.7109375" style="21"/>
    <col min="9" max="9" width="20.42578125" style="21" bestFit="1" customWidth="1"/>
    <col min="10" max="16384" width="8.7109375" style="21"/>
  </cols>
  <sheetData>
    <row r="1" spans="1:5" ht="132.75" customHeight="1">
      <c r="A1" s="1292"/>
      <c r="B1" s="1292"/>
      <c r="C1" s="1292"/>
      <c r="D1" s="1292"/>
      <c r="E1" s="1292"/>
    </row>
    <row r="2" spans="1:5" s="380" customFormat="1" ht="19.5" customHeight="1" thickBot="1">
      <c r="A2" s="1293" t="s">
        <v>1132</v>
      </c>
      <c r="B2" s="1293"/>
      <c r="C2" s="1293"/>
      <c r="D2" s="1293"/>
      <c r="E2" s="1293"/>
    </row>
    <row r="3" spans="1:5" s="380" customFormat="1" ht="30" customHeight="1">
      <c r="A3" s="353" t="s">
        <v>41</v>
      </c>
      <c r="B3" s="354">
        <v>2023</v>
      </c>
      <c r="C3" s="354">
        <v>2024</v>
      </c>
      <c r="D3" s="354">
        <v>2025</v>
      </c>
      <c r="E3" s="355" t="s">
        <v>534</v>
      </c>
    </row>
    <row r="4" spans="1:5" s="380" customFormat="1" ht="21.75" customHeight="1">
      <c r="A4" s="356" t="s">
        <v>535</v>
      </c>
      <c r="B4" s="357">
        <v>448.55</v>
      </c>
      <c r="C4" s="357">
        <v>448.55</v>
      </c>
      <c r="D4" s="357">
        <v>448.55</v>
      </c>
      <c r="E4" s="358">
        <v>448.55</v>
      </c>
    </row>
    <row r="5" spans="1:5" s="379" customFormat="1" ht="21.75" customHeight="1">
      <c r="A5" s="359" t="s">
        <v>537</v>
      </c>
      <c r="B5" s="360">
        <f>B8/B6</f>
        <v>684.00543740420324</v>
      </c>
      <c r="C5" s="360">
        <f>C8/C6</f>
        <v>1449.633077504531</v>
      </c>
      <c r="D5" s="360">
        <f>D8/D6</f>
        <v>1529.1039269275029</v>
      </c>
      <c r="E5" s="361">
        <f>E8/E6</f>
        <v>1372.1618975745762</v>
      </c>
    </row>
    <row r="6" spans="1:5" s="380" customFormat="1" ht="21.75" customHeight="1">
      <c r="A6" s="362" t="s">
        <v>539</v>
      </c>
      <c r="B6" s="363">
        <v>3503.51</v>
      </c>
      <c r="C6" s="363">
        <v>4656.76</v>
      </c>
      <c r="D6" s="363">
        <v>4032.16</v>
      </c>
      <c r="E6" s="364">
        <v>954.06</v>
      </c>
    </row>
    <row r="7" spans="1:5" s="380" customFormat="1" ht="21.75" customHeight="1">
      <c r="A7" s="362" t="s">
        <v>540</v>
      </c>
      <c r="B7" s="365">
        <f>B6*$B$4</f>
        <v>1571499.4105000002</v>
      </c>
      <c r="C7" s="365">
        <f>C6*$B$4</f>
        <v>2088789.6980000001</v>
      </c>
      <c r="D7" s="365">
        <f>D6*$B$4</f>
        <v>1808625.368</v>
      </c>
      <c r="E7" s="366">
        <f>E6*$B$4</f>
        <v>427943.61300000001</v>
      </c>
    </row>
    <row r="8" spans="1:5" s="380" customFormat="1" ht="21.75" customHeight="1">
      <c r="A8" s="362" t="s">
        <v>541</v>
      </c>
      <c r="B8" s="365">
        <v>2396419.89</v>
      </c>
      <c r="C8" s="365">
        <v>6750593.3300000001</v>
      </c>
      <c r="D8" s="365">
        <v>6165591.6900000004</v>
      </c>
      <c r="E8" s="366">
        <v>1309124.78</v>
      </c>
    </row>
    <row r="9" spans="1:5" s="380" customFormat="1" ht="21.75" customHeight="1">
      <c r="A9" s="1316" t="s">
        <v>1133</v>
      </c>
      <c r="B9" s="1317"/>
      <c r="C9" s="1317"/>
      <c r="D9" s="1317"/>
      <c r="E9" s="1318"/>
    </row>
    <row r="10" spans="1:5" s="381" customFormat="1" ht="30.75" customHeight="1" thickBot="1">
      <c r="A10" s="367" t="s">
        <v>1134</v>
      </c>
      <c r="B10" s="368">
        <f>B8-B7</f>
        <v>824920.4794999999</v>
      </c>
      <c r="C10" s="368">
        <f>C8-C7</f>
        <v>4661803.6320000002</v>
      </c>
      <c r="D10" s="368">
        <f>D8-D7</f>
        <v>4356966.3220000006</v>
      </c>
      <c r="E10" s="369">
        <f>E8-E7</f>
        <v>881181.16700000002</v>
      </c>
    </row>
    <row r="11" spans="1:5" ht="22.35" customHeight="1" thickBot="1">
      <c r="A11" s="1294" t="s">
        <v>543</v>
      </c>
      <c r="B11" s="1295"/>
      <c r="C11" s="1295"/>
      <c r="D11" s="1295"/>
      <c r="E11" s="1296"/>
    </row>
    <row r="12" spans="1:5" s="380" customFormat="1" ht="21.75" customHeight="1">
      <c r="A12" s="370" t="s">
        <v>544</v>
      </c>
      <c r="B12" s="371">
        <v>4381207.357790309</v>
      </c>
      <c r="C12" s="371">
        <v>5869905.4813311091</v>
      </c>
      <c r="D12" s="371">
        <v>8607151.9191270526</v>
      </c>
      <c r="E12" s="372">
        <v>3138892.35</v>
      </c>
    </row>
    <row r="13" spans="1:5" s="380" customFormat="1" ht="21.75" customHeight="1">
      <c r="A13" s="362" t="s">
        <v>545</v>
      </c>
      <c r="B13" s="365">
        <v>2396419.89</v>
      </c>
      <c r="C13" s="365">
        <v>6750593.3300000001</v>
      </c>
      <c r="D13" s="365">
        <v>6165591.6900000004</v>
      </c>
      <c r="E13" s="366">
        <v>1309124.78</v>
      </c>
    </row>
    <row r="14" spans="1:5" s="379" customFormat="1" ht="21.75" customHeight="1" thickBot="1">
      <c r="A14" s="373" t="s">
        <v>546</v>
      </c>
      <c r="B14" s="374">
        <f>B13+B12</f>
        <v>6777627.2477903087</v>
      </c>
      <c r="C14" s="374">
        <f>C13+C12</f>
        <v>12620498.811331108</v>
      </c>
      <c r="D14" s="374">
        <f>D13+D12</f>
        <v>14772743.609127052</v>
      </c>
      <c r="E14" s="375">
        <f>E13+E12</f>
        <v>4448017.13</v>
      </c>
    </row>
    <row r="15" spans="1:5">
      <c r="A15" s="21" t="s">
        <v>531</v>
      </c>
      <c r="B15" s="376"/>
      <c r="C15" s="376"/>
      <c r="D15" s="376"/>
      <c r="E15" s="376"/>
    </row>
    <row r="16" spans="1:5">
      <c r="B16" s="376"/>
    </row>
  </sheetData>
  <mergeCells count="4">
    <mergeCell ref="A1:E1"/>
    <mergeCell ref="A2:E2"/>
    <mergeCell ref="A9:E9"/>
    <mergeCell ref="A11:E11"/>
  </mergeCells>
  <pageMargins left="0.5" right="0.56000000000000005" top="0.98425196850393704" bottom="0.98425196850393704" header="0.51181102362204722" footer="0.51181102362204722"/>
  <pageSetup paperSize="9" scale="97" orientation="landscape"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96C88-5B27-4FE5-A4D6-E01B63EC0A83}">
  <dimension ref="B1:E9"/>
  <sheetViews>
    <sheetView zoomScale="120" zoomScaleNormal="120" workbookViewId="0">
      <selection activeCell="H29" sqref="H29"/>
    </sheetView>
  </sheetViews>
  <sheetFormatPr defaultColWidth="8.85546875" defaultRowHeight="12.95"/>
  <cols>
    <col min="2" max="2" width="22.7109375" bestFit="1" customWidth="1"/>
    <col min="4" max="5" width="11.85546875" bestFit="1" customWidth="1"/>
  </cols>
  <sheetData>
    <row r="1" spans="2:5">
      <c r="B1" s="174" t="s">
        <v>602</v>
      </c>
    </row>
    <row r="3" spans="2:5">
      <c r="C3">
        <v>2023</v>
      </c>
      <c r="D3">
        <v>2024</v>
      </c>
      <c r="E3">
        <v>2025</v>
      </c>
    </row>
    <row r="4" spans="2:5">
      <c r="B4" s="231" t="s">
        <v>1135</v>
      </c>
      <c r="C4" s="100"/>
      <c r="D4" s="100">
        <f>(NELFUnd!C3+NELFUnd!C4)/1000000000</f>
        <v>143.80000000000001</v>
      </c>
      <c r="E4" s="100">
        <f>(NELFUnd!C5+NELFUnd!C6)/1000000000</f>
        <v>80</v>
      </c>
    </row>
    <row r="5" spans="2:5">
      <c r="B5" s="231" t="s">
        <v>604</v>
      </c>
      <c r="C5" s="100">
        <v>0</v>
      </c>
      <c r="D5" s="100">
        <v>0</v>
      </c>
      <c r="E5" s="100">
        <v>0</v>
      </c>
    </row>
    <row r="6" spans="2:5">
      <c r="B6" s="231" t="s">
        <v>1136</v>
      </c>
      <c r="C6" s="100"/>
      <c r="D6" s="100">
        <v>50</v>
      </c>
      <c r="E6" s="100"/>
    </row>
    <row r="7" spans="2:5">
      <c r="B7" s="231" t="s">
        <v>606</v>
      </c>
      <c r="C7" s="100">
        <v>0</v>
      </c>
      <c r="D7" s="100">
        <v>0</v>
      </c>
      <c r="E7" s="100">
        <v>150</v>
      </c>
    </row>
    <row r="8" spans="2:5" ht="14.1" thickBot="1">
      <c r="B8" s="231" t="s">
        <v>204</v>
      </c>
      <c r="C8" s="293">
        <f>SUM(C4:C7)</f>
        <v>0</v>
      </c>
      <c r="D8" s="293">
        <f t="shared" ref="D8:E8" si="0">SUM(D4:D7)</f>
        <v>193.8</v>
      </c>
      <c r="E8" s="293">
        <f t="shared" si="0"/>
        <v>230</v>
      </c>
    </row>
    <row r="9" spans="2:5" ht="14.1" thickTop="1"/>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F1A46-542D-43FA-A033-EDF6647BF54F}">
  <dimension ref="A1:R39"/>
  <sheetViews>
    <sheetView zoomScale="80" workbookViewId="0">
      <selection activeCell="C11" sqref="C11"/>
    </sheetView>
  </sheetViews>
  <sheetFormatPr defaultColWidth="10" defaultRowHeight="15"/>
  <cols>
    <col min="1" max="1" width="4.85546875" style="263" customWidth="1"/>
    <col min="2" max="2" width="24.28515625" style="263" customWidth="1"/>
    <col min="3" max="3" width="27.42578125" style="263" customWidth="1"/>
    <col min="4" max="4" width="27.42578125" style="256" customWidth="1"/>
    <col min="5" max="5" width="25.7109375" style="256" customWidth="1"/>
    <col min="6" max="6" width="24.7109375" style="256" customWidth="1"/>
    <col min="7" max="7" width="25.7109375" style="256" customWidth="1"/>
    <col min="8" max="8" width="25.42578125" style="256" customWidth="1"/>
    <col min="9" max="9" width="25.28515625" style="256" customWidth="1"/>
    <col min="10" max="10" width="25" style="256" customWidth="1"/>
    <col min="11" max="12" width="24.28515625" style="256" customWidth="1"/>
    <col min="13" max="13" width="29.85546875" style="256" customWidth="1"/>
    <col min="14" max="14" width="27.85546875" style="256" customWidth="1"/>
    <col min="15" max="15" width="21.85546875" style="256" bestFit="1" customWidth="1"/>
    <col min="16" max="16" width="25.140625" style="256" bestFit="1" customWidth="1"/>
    <col min="17" max="17" width="20.7109375" style="256" bestFit="1" customWidth="1"/>
    <col min="18" max="18" width="25.140625" style="256" bestFit="1" customWidth="1"/>
    <col min="19" max="16384" width="10" style="256"/>
  </cols>
  <sheetData>
    <row r="1" spans="1:15" s="246" customFormat="1" ht="30.95">
      <c r="A1" s="1299" t="s">
        <v>1137</v>
      </c>
      <c r="B1" s="1299"/>
      <c r="C1" s="1299"/>
      <c r="D1" s="1299"/>
      <c r="E1" s="1299"/>
      <c r="F1" s="1299"/>
      <c r="G1" s="1299"/>
      <c r="H1" s="1299"/>
      <c r="I1" s="1299"/>
      <c r="J1" s="1299"/>
      <c r="K1" s="1299"/>
      <c r="L1" s="1299"/>
      <c r="M1" s="1299"/>
      <c r="N1" s="1299"/>
      <c r="O1" s="1299"/>
    </row>
    <row r="2" spans="1:15" s="247" customFormat="1" ht="30.95">
      <c r="A2" s="1299" t="s">
        <v>728</v>
      </c>
      <c r="B2" s="1299"/>
      <c r="C2" s="1299"/>
      <c r="D2" s="1299"/>
      <c r="E2" s="1299"/>
      <c r="F2" s="1299"/>
      <c r="G2" s="1299"/>
      <c r="H2" s="1299"/>
      <c r="I2" s="1299"/>
      <c r="J2" s="1299"/>
      <c r="K2" s="1299"/>
      <c r="L2" s="1299"/>
      <c r="M2" s="1299"/>
      <c r="N2" s="1299"/>
      <c r="O2" s="1299"/>
    </row>
    <row r="3" spans="1:15" s="248" customFormat="1" ht="30.95">
      <c r="A3" s="1299" t="s">
        <v>1138</v>
      </c>
      <c r="B3" s="1299"/>
      <c r="C3" s="1299"/>
      <c r="D3" s="1299"/>
      <c r="E3" s="1299"/>
      <c r="F3" s="1299"/>
      <c r="G3" s="1299"/>
      <c r="H3" s="1299"/>
      <c r="I3" s="1299"/>
      <c r="J3" s="1299"/>
      <c r="K3" s="1299"/>
      <c r="L3" s="1299"/>
      <c r="M3" s="1299"/>
      <c r="N3" s="1299"/>
      <c r="O3" s="1299"/>
    </row>
    <row r="4" spans="1:15" s="253" customFormat="1" ht="26.1">
      <c r="A4" s="249"/>
      <c r="B4" s="249"/>
      <c r="C4" s="249"/>
      <c r="D4" s="249"/>
      <c r="E4" s="249"/>
      <c r="F4" s="250"/>
      <c r="G4" s="251"/>
      <c r="H4" s="250"/>
      <c r="I4" s="250"/>
      <c r="J4" s="250"/>
      <c r="K4" s="250"/>
      <c r="L4" s="250"/>
      <c r="M4" s="250"/>
      <c r="N4" s="252"/>
    </row>
    <row r="5" spans="1:15" ht="15" customHeight="1">
      <c r="A5" s="254"/>
      <c r="B5" s="254"/>
      <c r="C5" s="254"/>
      <c r="D5" s="254"/>
      <c r="E5" s="254"/>
      <c r="F5" s="254"/>
      <c r="G5" s="254"/>
      <c r="H5" s="254"/>
      <c r="I5" s="254"/>
      <c r="J5" s="254"/>
      <c r="K5" s="254"/>
      <c r="L5" s="254"/>
      <c r="M5" s="255"/>
    </row>
    <row r="6" spans="1:15" ht="15" customHeight="1">
      <c r="A6" s="254"/>
      <c r="B6" s="254"/>
      <c r="C6" s="254"/>
      <c r="D6" s="254"/>
      <c r="E6" s="254"/>
      <c r="F6" s="254"/>
      <c r="G6" s="254"/>
      <c r="H6" s="254"/>
      <c r="I6" s="254"/>
      <c r="J6" s="254"/>
      <c r="K6" s="254"/>
      <c r="L6" s="254"/>
      <c r="M6" s="255"/>
    </row>
    <row r="7" spans="1:15" ht="15" customHeight="1">
      <c r="A7" s="254"/>
      <c r="B7" s="254"/>
      <c r="C7" s="254"/>
      <c r="D7" s="254"/>
      <c r="E7" s="254"/>
      <c r="F7" s="254"/>
      <c r="G7" s="254"/>
      <c r="H7" s="254"/>
      <c r="I7" s="254"/>
      <c r="J7" s="254"/>
      <c r="K7" s="254"/>
      <c r="L7" s="254"/>
      <c r="M7" s="255"/>
    </row>
    <row r="8" spans="1:15" ht="15" customHeight="1">
      <c r="A8" s="254"/>
      <c r="B8" s="254"/>
      <c r="C8" s="254"/>
      <c r="D8" s="254"/>
      <c r="E8" s="254"/>
      <c r="F8" s="254"/>
      <c r="G8" s="254"/>
      <c r="H8" s="254"/>
      <c r="I8" s="254"/>
      <c r="J8" s="254"/>
      <c r="K8" s="254"/>
      <c r="L8" s="254"/>
      <c r="M8" s="255"/>
    </row>
    <row r="9" spans="1:15" ht="15" customHeight="1">
      <c r="A9" s="254"/>
      <c r="B9" s="254"/>
      <c r="C9" s="254"/>
      <c r="D9" s="254"/>
      <c r="E9" s="254"/>
      <c r="F9" s="254"/>
      <c r="G9" s="254"/>
      <c r="H9" s="254"/>
      <c r="I9" s="254"/>
      <c r="J9" s="254"/>
      <c r="K9" s="254"/>
      <c r="L9" s="254"/>
      <c r="M9" s="255"/>
    </row>
    <row r="10" spans="1:15" s="258" customFormat="1" ht="51.75" customHeight="1">
      <c r="A10" s="1300" t="s">
        <v>1139</v>
      </c>
      <c r="B10" s="1300"/>
      <c r="C10" s="1300"/>
      <c r="D10" s="1300"/>
      <c r="E10" s="1300"/>
      <c r="F10" s="1300"/>
      <c r="G10" s="1300"/>
      <c r="H10" s="1300"/>
      <c r="I10" s="1300"/>
      <c r="J10" s="1300"/>
      <c r="K10" s="1300"/>
      <c r="L10" s="1300"/>
      <c r="M10" s="1300"/>
      <c r="N10" s="1300"/>
      <c r="O10" s="1300"/>
    </row>
    <row r="11" spans="1:15" s="258" customFormat="1" ht="51.75" customHeight="1">
      <c r="A11" s="257"/>
      <c r="B11" s="257"/>
      <c r="C11" s="257"/>
      <c r="D11" s="1297" t="s">
        <v>1140</v>
      </c>
      <c r="E11" s="1298"/>
      <c r="F11" s="1298"/>
      <c r="G11" s="1298"/>
      <c r="H11" s="257"/>
      <c r="I11" s="257"/>
      <c r="J11" s="257"/>
      <c r="K11" s="257"/>
      <c r="L11" s="257"/>
      <c r="M11" s="257"/>
      <c r="N11" s="257"/>
      <c r="O11" s="257"/>
    </row>
    <row r="12" spans="1:15" ht="61.5" customHeight="1">
      <c r="A12" s="264" t="s">
        <v>424</v>
      </c>
      <c r="B12" s="264" t="s">
        <v>955</v>
      </c>
      <c r="C12" s="265" t="s">
        <v>1141</v>
      </c>
      <c r="D12" s="265" t="s">
        <v>1142</v>
      </c>
      <c r="E12" s="265" t="s">
        <v>1143</v>
      </c>
      <c r="F12" s="265" t="s">
        <v>1144</v>
      </c>
      <c r="G12" s="265" t="s">
        <v>1145</v>
      </c>
      <c r="H12" s="265" t="s">
        <v>1146</v>
      </c>
      <c r="I12" s="265" t="s">
        <v>1147</v>
      </c>
      <c r="J12" s="265" t="s">
        <v>1148</v>
      </c>
      <c r="K12" s="265" t="s">
        <v>1149</v>
      </c>
      <c r="L12" s="265" t="s">
        <v>1150</v>
      </c>
      <c r="M12" s="265" t="s">
        <v>1151</v>
      </c>
      <c r="N12" s="333" t="s">
        <v>1152</v>
      </c>
      <c r="O12" s="334" t="s">
        <v>1153</v>
      </c>
    </row>
    <row r="13" spans="1:15" ht="48" customHeight="1">
      <c r="A13" s="266">
        <v>1</v>
      </c>
      <c r="B13" s="335" t="s">
        <v>1154</v>
      </c>
      <c r="C13" s="336">
        <v>4067851138002.6167</v>
      </c>
      <c r="D13" s="336">
        <v>322595547702.21997</v>
      </c>
      <c r="E13" s="336">
        <v>327918890736.63</v>
      </c>
      <c r="F13" s="336">
        <v>365173427696.49005</v>
      </c>
      <c r="G13" s="336">
        <v>332722509027.98004</v>
      </c>
      <c r="H13" s="336">
        <v>327686960867.68005</v>
      </c>
      <c r="I13" s="336">
        <v>319755176730.12994</v>
      </c>
      <c r="J13" s="336">
        <v>309963809775.88007</v>
      </c>
      <c r="K13" s="336">
        <v>298889366282.26001</v>
      </c>
      <c r="L13" s="336"/>
      <c r="M13" s="337">
        <f>SUM(D13:L13)</f>
        <v>2604705688819.2695</v>
      </c>
      <c r="N13" s="338">
        <f>C13-M13</f>
        <v>1463145449183.3472</v>
      </c>
      <c r="O13" s="338">
        <f>M13/C13*100</f>
        <v>64.031489856785257</v>
      </c>
    </row>
    <row r="14" spans="1:15" ht="48" customHeight="1">
      <c r="A14" s="266">
        <v>2</v>
      </c>
      <c r="B14" s="339" t="s">
        <v>1155</v>
      </c>
      <c r="C14" s="336">
        <v>412686261464</v>
      </c>
      <c r="D14" s="336">
        <v>33071539117</v>
      </c>
      <c r="E14" s="336">
        <v>33071539117</v>
      </c>
      <c r="F14" s="336">
        <v>33071539117</v>
      </c>
      <c r="G14" s="336">
        <v>33068313293</v>
      </c>
      <c r="H14" s="336">
        <v>33069388568</v>
      </c>
      <c r="I14" s="336">
        <v>33071994581</v>
      </c>
      <c r="J14" s="336">
        <v>33070556051</v>
      </c>
      <c r="K14" s="336">
        <v>33499651916.799999</v>
      </c>
      <c r="L14" s="336"/>
      <c r="M14" s="337">
        <f t="shared" ref="M14:M15" si="0">SUM(D14:L14)</f>
        <v>264994521760.79999</v>
      </c>
      <c r="N14" s="338">
        <f>C14-M14</f>
        <v>147691739703.20001</v>
      </c>
      <c r="O14" s="338">
        <f t="shared" ref="O14:O16" si="1">M14/C14*100</f>
        <v>64.212101663073256</v>
      </c>
    </row>
    <row r="15" spans="1:15" ht="48" customHeight="1">
      <c r="A15" s="266">
        <v>3</v>
      </c>
      <c r="B15" s="339" t="s">
        <v>1156</v>
      </c>
      <c r="C15" s="336">
        <v>1090486010536</v>
      </c>
      <c r="D15" s="336">
        <v>68091737761.280006</v>
      </c>
      <c r="E15" s="336">
        <v>68091737761.280006</v>
      </c>
      <c r="F15" s="336">
        <v>68091737761.280006</v>
      </c>
      <c r="G15" s="336">
        <v>68091737760.660004</v>
      </c>
      <c r="H15" s="336">
        <v>68091737760.660004</v>
      </c>
      <c r="I15" s="336">
        <v>68091737760.660004</v>
      </c>
      <c r="J15" s="336">
        <v>68091737760.660004</v>
      </c>
      <c r="K15" s="336">
        <v>50490517415.330002</v>
      </c>
      <c r="L15" s="336">
        <v>244502132377</v>
      </c>
      <c r="M15" s="337">
        <f t="shared" si="0"/>
        <v>771634814118.81006</v>
      </c>
      <c r="N15" s="338">
        <f>C15-M15</f>
        <v>318851196417.18994</v>
      </c>
      <c r="O15" s="338">
        <f t="shared" si="1"/>
        <v>70.760633943349077</v>
      </c>
    </row>
    <row r="16" spans="1:15" ht="35.25" customHeight="1">
      <c r="A16" s="266"/>
      <c r="B16" s="340" t="s">
        <v>25</v>
      </c>
      <c r="C16" s="341">
        <f>SUM(C13:C15)</f>
        <v>5571023410002.6172</v>
      </c>
      <c r="D16" s="341">
        <f t="shared" ref="D16:M16" si="2">SUM(D13:D15)</f>
        <v>423758824580.5</v>
      </c>
      <c r="E16" s="341">
        <f t="shared" si="2"/>
        <v>429082167614.91003</v>
      </c>
      <c r="F16" s="341">
        <f t="shared" si="2"/>
        <v>466336704574.77008</v>
      </c>
      <c r="G16" s="341">
        <f t="shared" si="2"/>
        <v>433882560081.64001</v>
      </c>
      <c r="H16" s="341">
        <f t="shared" si="2"/>
        <v>428848087196.34009</v>
      </c>
      <c r="I16" s="341">
        <f t="shared" si="2"/>
        <v>420918909071.78992</v>
      </c>
      <c r="J16" s="341">
        <f t="shared" si="2"/>
        <v>411126103587.54004</v>
      </c>
      <c r="K16" s="341">
        <f t="shared" si="2"/>
        <v>382879535614.39001</v>
      </c>
      <c r="L16" s="341">
        <f t="shared" si="2"/>
        <v>244502132377</v>
      </c>
      <c r="M16" s="341">
        <f t="shared" si="2"/>
        <v>3641335024698.8794</v>
      </c>
      <c r="N16" s="342">
        <f>C16-M16</f>
        <v>1929688385303.7378</v>
      </c>
      <c r="O16" s="338">
        <f t="shared" si="1"/>
        <v>65.362048527043768</v>
      </c>
    </row>
    <row r="19" spans="1:18" s="258" customFormat="1" ht="51.75" customHeight="1">
      <c r="A19" s="257"/>
      <c r="B19" s="257"/>
      <c r="C19" s="257"/>
      <c r="D19" s="1297" t="s">
        <v>1157</v>
      </c>
      <c r="E19" s="1298"/>
      <c r="F19" s="1298"/>
      <c r="G19" s="1298"/>
      <c r="H19" s="257"/>
      <c r="I19" s="257"/>
      <c r="J19" s="257"/>
      <c r="K19" s="257"/>
      <c r="L19" s="257"/>
      <c r="M19" s="257"/>
      <c r="N19" s="257"/>
      <c r="O19" s="257"/>
    </row>
    <row r="20" spans="1:18" ht="48.95" customHeight="1">
      <c r="A20" s="264" t="s">
        <v>424</v>
      </c>
      <c r="B20" s="264" t="s">
        <v>424</v>
      </c>
      <c r="C20" s="259" t="s">
        <v>955</v>
      </c>
      <c r="D20" s="265" t="s">
        <v>1158</v>
      </c>
      <c r="E20" s="260" t="s">
        <v>1159</v>
      </c>
      <c r="F20" s="260" t="s">
        <v>1160</v>
      </c>
      <c r="G20" s="260" t="s">
        <v>1161</v>
      </c>
      <c r="H20" s="260" t="s">
        <v>1162</v>
      </c>
      <c r="I20" s="260" t="s">
        <v>1163</v>
      </c>
      <c r="J20" s="260" t="s">
        <v>1164</v>
      </c>
      <c r="K20" s="260" t="s">
        <v>1165</v>
      </c>
      <c r="L20" s="260" t="s">
        <v>1166</v>
      </c>
      <c r="M20" s="260" t="s">
        <v>1167</v>
      </c>
      <c r="N20" s="260" t="s">
        <v>1168</v>
      </c>
      <c r="O20" s="260" t="s">
        <v>1169</v>
      </c>
      <c r="P20" s="260" t="s">
        <v>1170</v>
      </c>
      <c r="Q20" s="260" t="s">
        <v>1150</v>
      </c>
      <c r="R20" s="260" t="s">
        <v>1151</v>
      </c>
    </row>
    <row r="21" spans="1:18" ht="18">
      <c r="A21" s="266">
        <v>1</v>
      </c>
      <c r="B21" s="266">
        <v>1</v>
      </c>
      <c r="C21" s="261" t="s">
        <v>1154</v>
      </c>
      <c r="D21" s="267">
        <v>4810733181238.3604</v>
      </c>
      <c r="E21" s="267">
        <v>410133732320.69</v>
      </c>
      <c r="F21" s="267">
        <v>352209016668.17004</v>
      </c>
      <c r="G21" s="267">
        <v>393278905976.85999</v>
      </c>
      <c r="H21" s="267">
        <v>385241509924.60999</v>
      </c>
      <c r="I21" s="267">
        <v>403607195904.32001</v>
      </c>
      <c r="J21" s="267">
        <v>380014894185.18005</v>
      </c>
      <c r="K21" s="267">
        <v>445095088179.7699</v>
      </c>
      <c r="L21" s="267">
        <v>380403813832.28003</v>
      </c>
      <c r="M21" s="267">
        <v>440962908744.27997</v>
      </c>
      <c r="N21" s="267">
        <v>500809936252.73004</v>
      </c>
      <c r="O21" s="267">
        <v>451116767388.2099</v>
      </c>
      <c r="P21" s="267">
        <v>196748493796</v>
      </c>
      <c r="Q21" s="267"/>
      <c r="R21" s="268">
        <f>SUM(E21:Q21)</f>
        <v>4739622263173.0996</v>
      </c>
    </row>
    <row r="22" spans="1:18" ht="18.95">
      <c r="A22" s="266"/>
      <c r="B22" s="266"/>
      <c r="C22" s="262" t="s">
        <v>1155</v>
      </c>
      <c r="D22" s="267">
        <v>455625841085</v>
      </c>
      <c r="E22" s="267">
        <v>37399348107.509995</v>
      </c>
      <c r="F22" s="267">
        <v>37366401387.579994</v>
      </c>
      <c r="G22" s="267">
        <v>37561188976.309998</v>
      </c>
      <c r="H22" s="267">
        <v>37561188976.309998</v>
      </c>
      <c r="I22" s="267">
        <v>37402573855.75</v>
      </c>
      <c r="J22" s="267">
        <v>36548022692</v>
      </c>
      <c r="K22" s="267">
        <v>37402566356</v>
      </c>
      <c r="L22" s="267">
        <v>37397636427</v>
      </c>
      <c r="M22" s="267">
        <v>37400449404</v>
      </c>
      <c r="N22" s="267">
        <v>37403705261</v>
      </c>
      <c r="O22" s="267">
        <v>37405741089</v>
      </c>
      <c r="P22" s="267">
        <v>36308127816</v>
      </c>
      <c r="Q22" s="267"/>
      <c r="R22" s="268">
        <f t="shared" ref="R22:R23" si="3">SUM(E22:Q22)</f>
        <v>447156950348.45996</v>
      </c>
    </row>
    <row r="23" spans="1:18" ht="38.1">
      <c r="A23" s="266"/>
      <c r="B23" s="266"/>
      <c r="C23" s="262" t="s">
        <v>1156</v>
      </c>
      <c r="D23" s="267">
        <v>1742786788149</v>
      </c>
      <c r="E23" s="267">
        <v>145232232344.25</v>
      </c>
      <c r="F23" s="267">
        <v>145232232344.25</v>
      </c>
      <c r="G23" s="267">
        <v>145232232344.25</v>
      </c>
      <c r="H23" s="267">
        <v>145232232344.25</v>
      </c>
      <c r="I23" s="267">
        <v>145232232344.25</v>
      </c>
      <c r="J23" s="267">
        <v>145232232344.25</v>
      </c>
      <c r="K23" s="267">
        <v>145232232344.25</v>
      </c>
      <c r="L23" s="267">
        <v>145232232344.25</v>
      </c>
      <c r="M23" s="267">
        <v>145232232344.25</v>
      </c>
      <c r="N23" s="267">
        <v>141898899011.25</v>
      </c>
      <c r="O23" s="267">
        <v>141898899011.25</v>
      </c>
      <c r="P23" s="267">
        <v>141898899011.25</v>
      </c>
      <c r="Q23" s="267">
        <v>19000000000</v>
      </c>
      <c r="R23" s="268">
        <f t="shared" si="3"/>
        <v>1751786788132</v>
      </c>
    </row>
    <row r="24" spans="1:18" ht="15.95">
      <c r="B24" s="266"/>
      <c r="C24" s="269" t="s">
        <v>25</v>
      </c>
      <c r="D24" s="270">
        <f>SUM(D21:D23)</f>
        <v>7009145810472.3604</v>
      </c>
      <c r="E24" s="270">
        <f t="shared" ref="E24:R24" si="4">SUM(E21:E23)</f>
        <v>592765312772.44995</v>
      </c>
      <c r="F24" s="270">
        <f t="shared" si="4"/>
        <v>534807650400.00006</v>
      </c>
      <c r="G24" s="270">
        <f t="shared" si="4"/>
        <v>576072327297.41992</v>
      </c>
      <c r="H24" s="270">
        <f t="shared" si="4"/>
        <v>568034931245.16992</v>
      </c>
      <c r="I24" s="270">
        <f t="shared" si="4"/>
        <v>586242002104.32007</v>
      </c>
      <c r="J24" s="270">
        <f t="shared" si="4"/>
        <v>561795149221.43005</v>
      </c>
      <c r="K24" s="270">
        <f t="shared" si="4"/>
        <v>627729886880.0199</v>
      </c>
      <c r="L24" s="270">
        <f t="shared" si="4"/>
        <v>563033682603.53003</v>
      </c>
      <c r="M24" s="270">
        <f t="shared" si="4"/>
        <v>623595590492.53003</v>
      </c>
      <c r="N24" s="270">
        <f t="shared" si="4"/>
        <v>680112540524.97998</v>
      </c>
      <c r="O24" s="270">
        <f t="shared" si="4"/>
        <v>630421407488.45996</v>
      </c>
      <c r="P24" s="270">
        <f t="shared" si="4"/>
        <v>374955520623.25</v>
      </c>
      <c r="Q24" s="270">
        <f t="shared" si="4"/>
        <v>19000000000</v>
      </c>
      <c r="R24" s="270">
        <f t="shared" si="4"/>
        <v>6938566001653.5596</v>
      </c>
    </row>
    <row r="28" spans="1:18" s="258" customFormat="1" ht="51.75" customHeight="1">
      <c r="A28" s="257"/>
      <c r="B28" s="257"/>
      <c r="C28" s="257"/>
      <c r="D28" s="1297" t="s">
        <v>1171</v>
      </c>
      <c r="E28" s="1298"/>
      <c r="F28" s="1298"/>
      <c r="G28" s="1298"/>
      <c r="H28" s="257"/>
      <c r="I28" s="257"/>
      <c r="J28" s="257"/>
      <c r="K28" s="257"/>
      <c r="L28" s="257"/>
      <c r="M28" s="257"/>
      <c r="N28" s="257"/>
      <c r="O28" s="257"/>
    </row>
    <row r="29" spans="1:18" ht="38.1">
      <c r="A29" s="259" t="s">
        <v>424</v>
      </c>
      <c r="B29" s="259" t="s">
        <v>955</v>
      </c>
      <c r="C29" s="259" t="s">
        <v>1172</v>
      </c>
      <c r="D29" s="260" t="s">
        <v>1159</v>
      </c>
      <c r="E29" s="260" t="s">
        <v>1160</v>
      </c>
      <c r="F29" s="260" t="s">
        <v>1161</v>
      </c>
      <c r="G29" s="260" t="s">
        <v>1162</v>
      </c>
      <c r="H29" s="260" t="s">
        <v>1163</v>
      </c>
      <c r="I29" s="260" t="s">
        <v>1164</v>
      </c>
      <c r="J29" s="260" t="s">
        <v>1165</v>
      </c>
      <c r="K29" s="260" t="s">
        <v>1166</v>
      </c>
      <c r="L29" s="260" t="s">
        <v>1167</v>
      </c>
      <c r="M29" s="260" t="s">
        <v>1168</v>
      </c>
      <c r="N29" s="260" t="s">
        <v>1169</v>
      </c>
      <c r="O29" s="260" t="s">
        <v>1170</v>
      </c>
      <c r="P29" s="260" t="s">
        <v>1151</v>
      </c>
    </row>
    <row r="30" spans="1:18" ht="17.100000000000001">
      <c r="A30" s="266">
        <v>1</v>
      </c>
      <c r="B30" s="271" t="s">
        <v>1154</v>
      </c>
      <c r="C30" s="267">
        <v>7537687004426.7012</v>
      </c>
      <c r="D30" s="267">
        <v>509065023789.38</v>
      </c>
      <c r="E30" s="267">
        <v>463377458148.30994</v>
      </c>
      <c r="F30" s="267">
        <v>598264551796.52991</v>
      </c>
      <c r="G30" s="267">
        <v>593526990227.57983</v>
      </c>
      <c r="H30" s="267">
        <v>604798839508.29993</v>
      </c>
      <c r="I30" s="267">
        <v>592163015770.6499</v>
      </c>
      <c r="J30" s="267">
        <v>587237466248.82007</v>
      </c>
      <c r="K30" s="267">
        <v>590212046972.6499</v>
      </c>
      <c r="L30" s="267">
        <v>609501871469.4801</v>
      </c>
      <c r="M30" s="267">
        <v>651192091749.81995</v>
      </c>
      <c r="N30" s="267">
        <v>597888946730.24988</v>
      </c>
      <c r="O30" s="267">
        <v>614411304144.64001</v>
      </c>
      <c r="P30" s="268">
        <f>SUM(D30:O30)</f>
        <v>7011639606556.4092</v>
      </c>
    </row>
    <row r="31" spans="1:18" ht="17.100000000000001">
      <c r="A31" s="266">
        <v>2</v>
      </c>
      <c r="B31" s="271" t="s">
        <v>1155</v>
      </c>
      <c r="C31" s="267">
        <v>1437145595006</v>
      </c>
      <c r="D31" s="267">
        <v>45597841513</v>
      </c>
      <c r="E31" s="267">
        <v>46951311657</v>
      </c>
      <c r="F31" s="267">
        <v>68654945571</v>
      </c>
      <c r="G31" s="267">
        <v>70001960438</v>
      </c>
      <c r="H31" s="267">
        <v>77142208720</v>
      </c>
      <c r="I31" s="267">
        <v>68319062961</v>
      </c>
      <c r="J31" s="267">
        <v>75224803246.384003</v>
      </c>
      <c r="K31" s="267">
        <v>68323676629</v>
      </c>
      <c r="L31" s="267">
        <v>78238215110</v>
      </c>
      <c r="M31" s="267">
        <v>70400641329</v>
      </c>
      <c r="N31" s="267">
        <v>69622273421</v>
      </c>
      <c r="O31" s="267">
        <v>70397954461</v>
      </c>
      <c r="P31" s="268">
        <f t="shared" ref="P31:P33" si="5">SUM(D31:O31)</f>
        <v>808874895056.38403</v>
      </c>
    </row>
    <row r="32" spans="1:18" ht="33.950000000000003">
      <c r="A32" s="266">
        <v>3</v>
      </c>
      <c r="B32" s="271" t="s">
        <v>1156</v>
      </c>
      <c r="C32" s="267">
        <v>3645761358925</v>
      </c>
      <c r="D32" s="267">
        <v>151898899010.25101</v>
      </c>
      <c r="E32" s="267">
        <v>145232232344.25</v>
      </c>
      <c r="F32" s="267">
        <v>125834344319.75</v>
      </c>
      <c r="G32" s="267">
        <v>172572084375.5</v>
      </c>
      <c r="H32" s="267">
        <v>144572084376</v>
      </c>
      <c r="I32" s="267">
        <v>173532232344.29001</v>
      </c>
      <c r="J32" s="267">
        <v>172572084375.5</v>
      </c>
      <c r="K32" s="267">
        <v>172572084375.5</v>
      </c>
      <c r="L32" s="267">
        <v>172572084375.5</v>
      </c>
      <c r="M32" s="267">
        <v>172572084375.5</v>
      </c>
      <c r="N32" s="267">
        <v>147318455108.5</v>
      </c>
      <c r="O32" s="267">
        <v>159238751042.5</v>
      </c>
      <c r="P32" s="268">
        <f t="shared" si="5"/>
        <v>1910487420423.041</v>
      </c>
    </row>
    <row r="33" spans="1:16" ht="15.95">
      <c r="A33" s="266"/>
      <c r="B33" s="269" t="s">
        <v>25</v>
      </c>
      <c r="C33" s="270">
        <f>SUM(C30:C32)</f>
        <v>12620593958357.701</v>
      </c>
      <c r="D33" s="270">
        <f t="shared" ref="D33:O33" si="6">SUM(D30:D32)</f>
        <v>706561764312.63098</v>
      </c>
      <c r="E33" s="270">
        <f t="shared" si="6"/>
        <v>655561002149.55994</v>
      </c>
      <c r="F33" s="270">
        <f t="shared" si="6"/>
        <v>792753841687.27991</v>
      </c>
      <c r="G33" s="270">
        <f t="shared" si="6"/>
        <v>836101035041.07983</v>
      </c>
      <c r="H33" s="270">
        <f t="shared" si="6"/>
        <v>826513132604.29993</v>
      </c>
      <c r="I33" s="270">
        <f t="shared" si="6"/>
        <v>834014311075.93994</v>
      </c>
      <c r="J33" s="270">
        <f t="shared" si="6"/>
        <v>835034353870.7041</v>
      </c>
      <c r="K33" s="270">
        <f t="shared" si="6"/>
        <v>831107807977.1499</v>
      </c>
      <c r="L33" s="270">
        <f t="shared" si="6"/>
        <v>860312170954.9801</v>
      </c>
      <c r="M33" s="270">
        <f t="shared" si="6"/>
        <v>894164817454.31995</v>
      </c>
      <c r="N33" s="270">
        <f t="shared" si="6"/>
        <v>814829675259.74988</v>
      </c>
      <c r="O33" s="270">
        <f t="shared" si="6"/>
        <v>844048009648.14001</v>
      </c>
      <c r="P33" s="272">
        <f t="shared" si="5"/>
        <v>9731001922035.8359</v>
      </c>
    </row>
    <row r="34" spans="1:16">
      <c r="A34" s="273"/>
      <c r="B34" s="273"/>
      <c r="C34" s="273"/>
      <c r="D34" s="273"/>
      <c r="E34" s="273"/>
      <c r="F34" s="273"/>
      <c r="G34" s="273"/>
      <c r="H34" s="274"/>
      <c r="I34" s="274"/>
      <c r="J34" s="274"/>
      <c r="K34" s="274"/>
      <c r="L34" s="274"/>
      <c r="M34" s="274"/>
      <c r="N34" s="274"/>
      <c r="O34" s="274"/>
      <c r="P34" s="275"/>
    </row>
    <row r="36" spans="1:16">
      <c r="D36" s="256" t="s">
        <v>1173</v>
      </c>
    </row>
    <row r="37" spans="1:16">
      <c r="B37" s="263" t="s">
        <v>1111</v>
      </c>
      <c r="C37" s="276">
        <f>AVERAGE(D16:K16)</f>
        <v>424604111540.23505</v>
      </c>
    </row>
    <row r="38" spans="1:16">
      <c r="B38" s="263" t="s">
        <v>1112</v>
      </c>
      <c r="C38" s="276">
        <f>AVERAGE(E24:L24)</f>
        <v>576310117815.5426</v>
      </c>
      <c r="D38" s="277">
        <f>(C38-$C$37)*12</f>
        <v>1820472075303.6907</v>
      </c>
    </row>
    <row r="39" spans="1:16">
      <c r="B39" s="263" t="s">
        <v>1113</v>
      </c>
      <c r="C39" s="276">
        <f>AVERAGE(D33:L33)</f>
        <v>797551046630.40283</v>
      </c>
      <c r="D39" s="277">
        <f>(C39-$C$37)*12</f>
        <v>4475363221082.0137</v>
      </c>
    </row>
  </sheetData>
  <mergeCells count="7">
    <mergeCell ref="D28:G28"/>
    <mergeCell ref="A1:O1"/>
    <mergeCell ref="A2:O2"/>
    <mergeCell ref="A3:O3"/>
    <mergeCell ref="A10:O10"/>
    <mergeCell ref="D11:G11"/>
    <mergeCell ref="D19:G19"/>
  </mergeCells>
  <pageMargins left="0.19685039370078741" right="0.19685039370078741" top="0.31496062992125984" bottom="0.15748031496062992" header="0.51181102362204722" footer="0.43307086614173229"/>
  <pageSetup paperSize="9" scale="45" orientation="landscape"/>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203F1-39F8-4D70-91B8-98803ACE5345}">
  <sheetPr>
    <pageSetUpPr fitToPage="1"/>
  </sheetPr>
  <dimension ref="A1:D10"/>
  <sheetViews>
    <sheetView workbookViewId="0">
      <selection activeCell="G9" sqref="G9"/>
    </sheetView>
  </sheetViews>
  <sheetFormatPr defaultColWidth="8.7109375" defaultRowHeight="14.1"/>
  <cols>
    <col min="1" max="1" width="8.7109375" style="349"/>
    <col min="2" max="2" width="16.42578125" style="349" customWidth="1"/>
    <col min="3" max="3" width="30" style="352" customWidth="1"/>
    <col min="4" max="4" width="33.28515625" style="349" customWidth="1"/>
    <col min="5" max="16384" width="8.7109375" style="349"/>
  </cols>
  <sheetData>
    <row r="1" spans="1:4" s="244" customFormat="1" ht="53.25" customHeight="1">
      <c r="B1" s="1301" t="s">
        <v>1174</v>
      </c>
      <c r="C1" s="1301"/>
      <c r="D1" s="1301"/>
    </row>
    <row r="2" spans="1:4" s="245" customFormat="1" ht="30">
      <c r="A2" s="343" t="s">
        <v>424</v>
      </c>
      <c r="B2" s="343" t="s">
        <v>1175</v>
      </c>
      <c r="C2" s="344" t="s">
        <v>1176</v>
      </c>
      <c r="D2" s="343" t="s">
        <v>1177</v>
      </c>
    </row>
    <row r="3" spans="1:4" ht="39.950000000000003" customHeight="1">
      <c r="A3" s="345">
        <v>1</v>
      </c>
      <c r="B3" s="346">
        <v>45335</v>
      </c>
      <c r="C3" s="347">
        <v>71900000000</v>
      </c>
      <c r="D3" s="348" t="s">
        <v>1178</v>
      </c>
    </row>
    <row r="4" spans="1:4" ht="39.950000000000003" customHeight="1">
      <c r="A4" s="345">
        <v>2</v>
      </c>
      <c r="B4" s="346">
        <v>45552</v>
      </c>
      <c r="C4" s="347">
        <v>71900000000</v>
      </c>
      <c r="D4" s="348" t="s">
        <v>1178</v>
      </c>
    </row>
    <row r="5" spans="1:4" ht="39.950000000000003" customHeight="1">
      <c r="A5" s="345">
        <v>3</v>
      </c>
      <c r="B5" s="346">
        <v>45665</v>
      </c>
      <c r="C5" s="347">
        <v>30000000000</v>
      </c>
      <c r="D5" s="348" t="s">
        <v>1178</v>
      </c>
    </row>
    <row r="6" spans="1:4" ht="39.950000000000003" customHeight="1">
      <c r="A6" s="345">
        <v>4</v>
      </c>
      <c r="B6" s="346">
        <v>46022</v>
      </c>
      <c r="C6" s="347">
        <v>50000000000</v>
      </c>
      <c r="D6" s="348" t="s">
        <v>1178</v>
      </c>
    </row>
    <row r="7" spans="1:4" ht="39.950000000000003" customHeight="1">
      <c r="A7" s="345">
        <v>5</v>
      </c>
      <c r="B7" s="346">
        <v>46041</v>
      </c>
      <c r="C7" s="347">
        <v>30000000000</v>
      </c>
      <c r="D7" s="348" t="s">
        <v>1178</v>
      </c>
    </row>
    <row r="8" spans="1:4" ht="39.950000000000003" customHeight="1">
      <c r="A8" s="345">
        <v>6</v>
      </c>
      <c r="B8" s="346">
        <v>46083</v>
      </c>
      <c r="C8" s="347">
        <v>20000000000</v>
      </c>
      <c r="D8" s="348" t="s">
        <v>1178</v>
      </c>
    </row>
    <row r="9" spans="1:4" ht="39.950000000000003" customHeight="1">
      <c r="A9" s="345">
        <v>7</v>
      </c>
      <c r="B9" s="348">
        <v>2026</v>
      </c>
      <c r="C9" s="347">
        <v>67384791871.309998</v>
      </c>
      <c r="D9" s="348" t="s">
        <v>1179</v>
      </c>
    </row>
    <row r="10" spans="1:4" s="244" customFormat="1" ht="39.950000000000003" customHeight="1">
      <c r="A10" s="343"/>
      <c r="B10" s="350" t="s">
        <v>25</v>
      </c>
      <c r="C10" s="351">
        <f>SUM(C3:C9)</f>
        <v>341184791871.31</v>
      </c>
      <c r="D10" s="350"/>
    </row>
  </sheetData>
  <mergeCells count="1">
    <mergeCell ref="B1:D1"/>
  </mergeCells>
  <pageMargins left="0.70866141732283472" right="0.31496062992125984" top="0.74803149606299213" bottom="0.74803149606299213"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757EE-CC4C-46BC-95BC-123908E24A97}">
  <dimension ref="B1:I33"/>
  <sheetViews>
    <sheetView topLeftCell="A16" workbookViewId="0">
      <selection activeCell="F37" sqref="F37"/>
    </sheetView>
  </sheetViews>
  <sheetFormatPr defaultColWidth="12.140625" defaultRowHeight="15.95"/>
  <cols>
    <col min="1" max="2" width="12.140625" style="39"/>
    <col min="3" max="3" width="27.140625" style="39" customWidth="1"/>
    <col min="4" max="4" width="22.85546875" style="39" customWidth="1"/>
    <col min="5" max="5" width="21.140625" style="39" customWidth="1"/>
    <col min="6" max="6" width="24.85546875" style="40" customWidth="1"/>
    <col min="7" max="7" width="20.28515625" style="41" customWidth="1"/>
    <col min="8" max="8" width="12.140625" style="39"/>
    <col min="9" max="9" width="13.85546875" style="39" bestFit="1" customWidth="1"/>
    <col min="10" max="16384" width="12.140625" style="39"/>
  </cols>
  <sheetData>
    <row r="1" spans="2:9" ht="17.100000000000001" thickBot="1"/>
    <row r="2" spans="2:9">
      <c r="B2" s="42"/>
      <c r="C2" s="43"/>
      <c r="D2" s="43" t="s">
        <v>1180</v>
      </c>
      <c r="E2" s="43"/>
      <c r="F2" s="44"/>
      <c r="G2" s="45"/>
      <c r="H2" s="46"/>
    </row>
    <row r="3" spans="2:9" ht="17.100000000000001">
      <c r="B3" s="47" t="s">
        <v>1181</v>
      </c>
      <c r="C3" s="48" t="s">
        <v>1182</v>
      </c>
      <c r="D3" s="48" t="s">
        <v>1183</v>
      </c>
      <c r="E3" s="48" t="s">
        <v>1184</v>
      </c>
      <c r="F3" s="49" t="s">
        <v>1185</v>
      </c>
      <c r="G3" s="50" t="s">
        <v>1186</v>
      </c>
      <c r="H3" s="51"/>
    </row>
    <row r="4" spans="2:9" ht="51">
      <c r="B4" s="52">
        <v>1</v>
      </c>
      <c r="C4" s="53" t="s">
        <v>1187</v>
      </c>
      <c r="D4" s="54">
        <v>750000000</v>
      </c>
      <c r="E4" s="55" t="s">
        <v>1188</v>
      </c>
      <c r="F4" s="56" t="s">
        <v>1189</v>
      </c>
      <c r="G4" s="53" t="s">
        <v>1190</v>
      </c>
      <c r="H4" s="57"/>
    </row>
    <row r="5" spans="2:9" ht="68.099999999999994">
      <c r="B5" s="52">
        <v>2</v>
      </c>
      <c r="C5" s="53" t="s">
        <v>1191</v>
      </c>
      <c r="D5" s="54">
        <v>700000000</v>
      </c>
      <c r="E5" s="55" t="s">
        <v>1188</v>
      </c>
      <c r="F5" s="56">
        <v>5</v>
      </c>
      <c r="G5" s="53" t="s">
        <v>1192</v>
      </c>
      <c r="H5" s="57"/>
    </row>
    <row r="6" spans="2:9" ht="51">
      <c r="B6" s="52">
        <v>3</v>
      </c>
      <c r="C6" s="53" t="s">
        <v>1193</v>
      </c>
      <c r="D6" s="54">
        <v>750000000</v>
      </c>
      <c r="E6" s="55" t="s">
        <v>1188</v>
      </c>
      <c r="F6" s="56" t="s">
        <v>1194</v>
      </c>
      <c r="G6" s="53" t="s">
        <v>1190</v>
      </c>
      <c r="H6" s="57"/>
    </row>
    <row r="7" spans="2:9" ht="51">
      <c r="B7" s="52">
        <v>4</v>
      </c>
      <c r="C7" s="53" t="s">
        <v>1195</v>
      </c>
      <c r="D7" s="54">
        <v>500000000</v>
      </c>
      <c r="E7" s="55" t="s">
        <v>1188</v>
      </c>
      <c r="F7" s="56" t="s">
        <v>1196</v>
      </c>
      <c r="G7" s="53" t="s">
        <v>1197</v>
      </c>
      <c r="H7" s="57"/>
    </row>
    <row r="8" spans="2:9" ht="33.950000000000003">
      <c r="B8" s="52">
        <v>5</v>
      </c>
      <c r="C8" s="53" t="s">
        <v>1198</v>
      </c>
      <c r="D8" s="54">
        <v>500000000</v>
      </c>
      <c r="E8" s="55" t="s">
        <v>1188</v>
      </c>
      <c r="F8" s="56" t="s">
        <v>1199</v>
      </c>
      <c r="G8" s="53" t="s">
        <v>1200</v>
      </c>
      <c r="H8" s="57"/>
    </row>
    <row r="9" spans="2:9" ht="33.950000000000003">
      <c r="B9" s="52">
        <v>6</v>
      </c>
      <c r="C9" s="53" t="s">
        <v>1201</v>
      </c>
      <c r="D9" s="54">
        <v>1500000000</v>
      </c>
      <c r="E9" s="55" t="s">
        <v>1188</v>
      </c>
      <c r="F9" s="56" t="s">
        <v>1199</v>
      </c>
      <c r="G9" s="53" t="s">
        <v>1202</v>
      </c>
      <c r="H9" s="57"/>
    </row>
    <row r="10" spans="2:9" ht="51">
      <c r="B10" s="52">
        <v>7</v>
      </c>
      <c r="C10" s="53" t="s">
        <v>1203</v>
      </c>
      <c r="D10" s="54">
        <v>750000000</v>
      </c>
      <c r="E10" s="55" t="s">
        <v>1188</v>
      </c>
      <c r="F10" s="56" t="s">
        <v>1189</v>
      </c>
      <c r="G10" s="53" t="s">
        <v>1190</v>
      </c>
      <c r="H10" s="57"/>
    </row>
    <row r="11" spans="2:9" ht="51">
      <c r="B11" s="52">
        <v>8</v>
      </c>
      <c r="C11" s="53" t="s">
        <v>1204</v>
      </c>
      <c r="D11" s="54">
        <v>750000000</v>
      </c>
      <c r="E11" s="55" t="s">
        <v>1188</v>
      </c>
      <c r="F11" s="56" t="s">
        <v>1199</v>
      </c>
      <c r="G11" s="53" t="s">
        <v>1205</v>
      </c>
      <c r="H11" s="57"/>
      <c r="I11" s="58"/>
    </row>
    <row r="12" spans="2:9" ht="51">
      <c r="B12" s="52">
        <v>9</v>
      </c>
      <c r="C12" s="53" t="s">
        <v>1206</v>
      </c>
      <c r="D12" s="54">
        <v>170000000</v>
      </c>
      <c r="E12" s="55" t="s">
        <v>1207</v>
      </c>
      <c r="F12" s="56" t="s">
        <v>1199</v>
      </c>
      <c r="G12" s="53" t="s">
        <v>1208</v>
      </c>
      <c r="H12" s="57"/>
    </row>
    <row r="13" spans="2:9" ht="68.099999999999994">
      <c r="B13" s="52">
        <v>10</v>
      </c>
      <c r="C13" s="53" t="s">
        <v>1209</v>
      </c>
      <c r="D13" s="54">
        <v>160000000</v>
      </c>
      <c r="E13" s="55" t="s">
        <v>1207</v>
      </c>
      <c r="F13" s="56" t="s">
        <v>1199</v>
      </c>
      <c r="G13" s="53" t="s">
        <v>1210</v>
      </c>
      <c r="H13" s="57"/>
    </row>
    <row r="14" spans="2:9" ht="68.099999999999994">
      <c r="B14" s="52">
        <v>11</v>
      </c>
      <c r="C14" s="53" t="s">
        <v>1209</v>
      </c>
      <c r="D14" s="54">
        <v>50000000</v>
      </c>
      <c r="E14" s="55" t="s">
        <v>1211</v>
      </c>
      <c r="F14" s="56" t="s">
        <v>1199</v>
      </c>
      <c r="G14" s="53" t="s">
        <v>1210</v>
      </c>
      <c r="H14" s="57"/>
    </row>
    <row r="15" spans="2:9" ht="33.950000000000003">
      <c r="B15" s="52">
        <v>12</v>
      </c>
      <c r="C15" s="53" t="s">
        <v>1212</v>
      </c>
      <c r="D15" s="54">
        <v>20508559</v>
      </c>
      <c r="E15" s="55" t="s">
        <v>1207</v>
      </c>
      <c r="F15" s="56" t="s">
        <v>1213</v>
      </c>
      <c r="G15" s="53" t="s">
        <v>1214</v>
      </c>
      <c r="H15" s="57"/>
    </row>
    <row r="16" spans="2:9" ht="68.099999999999994">
      <c r="B16" s="52">
        <v>13</v>
      </c>
      <c r="C16" s="53" t="s">
        <v>1215</v>
      </c>
      <c r="D16" s="54">
        <v>134000000</v>
      </c>
      <c r="E16" s="55" t="s">
        <v>1207</v>
      </c>
      <c r="F16" s="56" t="s">
        <v>1216</v>
      </c>
      <c r="G16" s="53" t="s">
        <v>1217</v>
      </c>
      <c r="H16" s="57"/>
    </row>
    <row r="17" spans="2:9" ht="51">
      <c r="B17" s="52">
        <v>14</v>
      </c>
      <c r="C17" s="53" t="s">
        <v>1218</v>
      </c>
      <c r="D17" s="54">
        <v>1000000000</v>
      </c>
      <c r="E17" s="55" t="s">
        <v>1207</v>
      </c>
      <c r="F17" s="56" t="s">
        <v>1199</v>
      </c>
      <c r="G17" s="53" t="s">
        <v>1202</v>
      </c>
      <c r="H17" s="57"/>
    </row>
    <row r="18" spans="2:9" ht="17.100000000000001">
      <c r="B18" s="52">
        <v>15</v>
      </c>
      <c r="C18" s="53" t="s">
        <v>1219</v>
      </c>
      <c r="D18" s="54">
        <v>80000000</v>
      </c>
      <c r="E18" s="55" t="s">
        <v>1207</v>
      </c>
      <c r="F18" s="56" t="s">
        <v>1199</v>
      </c>
      <c r="G18" s="53" t="s">
        <v>1220</v>
      </c>
      <c r="H18" s="57"/>
    </row>
    <row r="19" spans="2:9" ht="17.100000000000001">
      <c r="B19" s="52">
        <v>16</v>
      </c>
      <c r="C19" s="53" t="s">
        <v>1221</v>
      </c>
      <c r="D19" s="54">
        <v>60000000</v>
      </c>
      <c r="E19" s="55" t="s">
        <v>1207</v>
      </c>
      <c r="F19" s="56" t="s">
        <v>1199</v>
      </c>
      <c r="G19" s="53" t="s">
        <v>1222</v>
      </c>
      <c r="H19" s="57"/>
      <c r="I19" s="58"/>
    </row>
    <row r="20" spans="2:9" ht="35.1" thickBot="1">
      <c r="B20" s="52">
        <v>17</v>
      </c>
      <c r="C20" s="53" t="s">
        <v>1223</v>
      </c>
      <c r="D20" s="59">
        <v>70000000</v>
      </c>
      <c r="E20" s="55" t="s">
        <v>1224</v>
      </c>
      <c r="F20" s="56" t="s">
        <v>1199</v>
      </c>
      <c r="G20" s="53" t="s">
        <v>1208</v>
      </c>
      <c r="H20" s="57"/>
      <c r="I20" s="58"/>
    </row>
    <row r="21" spans="2:9" ht="33.950000000000003">
      <c r="B21" s="60">
        <v>18</v>
      </c>
      <c r="C21" s="53" t="s">
        <v>1225</v>
      </c>
      <c r="D21" s="54">
        <v>754660000</v>
      </c>
      <c r="E21" s="55" t="s">
        <v>1226</v>
      </c>
      <c r="F21" s="56"/>
      <c r="G21" s="53" t="s">
        <v>690</v>
      </c>
      <c r="H21" s="57"/>
    </row>
    <row r="22" spans="2:9" ht="17.100000000000001">
      <c r="B22" s="52"/>
      <c r="C22" s="61" t="s">
        <v>1227</v>
      </c>
      <c r="D22" s="62">
        <f>SUM(D4:D21)</f>
        <v>8699168559</v>
      </c>
      <c r="E22" s="55"/>
      <c r="F22" s="56"/>
      <c r="G22" s="53"/>
      <c r="H22" s="57"/>
    </row>
    <row r="23" spans="2:9">
      <c r="B23" s="52"/>
      <c r="C23" s="53"/>
      <c r="D23" s="54"/>
      <c r="E23" s="55"/>
      <c r="F23" s="56"/>
      <c r="G23" s="53"/>
      <c r="H23" s="57"/>
    </row>
    <row r="24" spans="2:9">
      <c r="B24" s="52"/>
      <c r="C24" s="53"/>
      <c r="D24" s="54"/>
      <c r="E24" s="55"/>
      <c r="F24" s="56"/>
      <c r="G24" s="53"/>
      <c r="H24" s="57"/>
    </row>
    <row r="25" spans="2:9" ht="17.100000000000001">
      <c r="B25" s="47" t="s">
        <v>1181</v>
      </c>
      <c r="C25" s="48" t="s">
        <v>1182</v>
      </c>
      <c r="D25" s="48" t="s">
        <v>1228</v>
      </c>
      <c r="E25" s="48" t="s">
        <v>1184</v>
      </c>
      <c r="F25" s="49" t="s">
        <v>1185</v>
      </c>
      <c r="G25" s="50" t="s">
        <v>1186</v>
      </c>
      <c r="H25" s="57"/>
    </row>
    <row r="26" spans="2:9" ht="51">
      <c r="B26" s="52">
        <v>19</v>
      </c>
      <c r="C26" s="53" t="s">
        <v>1206</v>
      </c>
      <c r="D26" s="54">
        <v>100000000</v>
      </c>
      <c r="E26" s="55" t="s">
        <v>1229</v>
      </c>
      <c r="F26" s="56"/>
      <c r="G26" s="53" t="s">
        <v>1230</v>
      </c>
      <c r="H26" s="57"/>
    </row>
    <row r="27" spans="2:9">
      <c r="B27" s="52"/>
      <c r="H27" s="57"/>
    </row>
    <row r="28" spans="2:9" ht="17.100000000000001">
      <c r="B28" s="52"/>
      <c r="C28" s="50" t="s">
        <v>1231</v>
      </c>
      <c r="D28" s="63">
        <f>D26</f>
        <v>100000000</v>
      </c>
      <c r="E28" s="55"/>
      <c r="F28" s="56"/>
      <c r="G28" s="53"/>
      <c r="H28" s="57"/>
    </row>
    <row r="29" spans="2:9">
      <c r="B29" s="52"/>
      <c r="C29" s="53"/>
      <c r="D29" s="55"/>
      <c r="E29" s="55"/>
      <c r="F29" s="56"/>
      <c r="G29" s="53"/>
      <c r="H29" s="57"/>
    </row>
    <row r="30" spans="2:9">
      <c r="B30" s="52"/>
      <c r="C30" s="53"/>
      <c r="D30" s="55"/>
      <c r="E30" s="55"/>
      <c r="F30" s="56"/>
      <c r="G30" s="53"/>
      <c r="H30" s="57"/>
    </row>
    <row r="31" spans="2:9" ht="17.100000000000001" thickBot="1">
      <c r="B31" s="64"/>
      <c r="C31" s="65"/>
      <c r="D31" s="66"/>
      <c r="E31" s="66"/>
      <c r="F31" s="67"/>
      <c r="G31" s="65"/>
      <c r="H31" s="68"/>
    </row>
    <row r="32" spans="2:9">
      <c r="C32" s="41"/>
    </row>
    <row r="33" spans="3:3">
      <c r="C33" s="4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DF00C-7601-428D-BEA9-9CFAE8A28F89}">
  <dimension ref="C1:G4"/>
  <sheetViews>
    <sheetView workbookViewId="0">
      <selection activeCell="G14" sqref="G14"/>
    </sheetView>
  </sheetViews>
  <sheetFormatPr defaultColWidth="12.140625" defaultRowHeight="15.95"/>
  <cols>
    <col min="1" max="3" width="12.140625" style="39"/>
    <col min="4" max="4" width="19.7109375" style="39" customWidth="1"/>
    <col min="5" max="5" width="22.85546875" style="39" customWidth="1"/>
    <col min="6" max="6" width="21.42578125" style="39" customWidth="1"/>
    <col min="7" max="16384" width="12.140625" style="39"/>
  </cols>
  <sheetData>
    <row r="1" spans="3:7" ht="17.100000000000001" thickBot="1"/>
    <row r="2" spans="3:7">
      <c r="C2" s="42"/>
      <c r="D2" s="43"/>
      <c r="E2" s="43" t="s">
        <v>1232</v>
      </c>
      <c r="F2" s="46"/>
    </row>
    <row r="3" spans="3:7">
      <c r="C3" s="47" t="s">
        <v>1181</v>
      </c>
      <c r="D3" s="48" t="s">
        <v>1182</v>
      </c>
      <c r="E3" s="48" t="s">
        <v>1233</v>
      </c>
      <c r="F3" s="51" t="s">
        <v>1234</v>
      </c>
      <c r="G3" s="69" t="s">
        <v>1235</v>
      </c>
    </row>
    <row r="4" spans="3:7" ht="69" thickBot="1">
      <c r="C4" s="64">
        <v>1</v>
      </c>
      <c r="D4" s="65" t="s">
        <v>1236</v>
      </c>
      <c r="E4" s="70">
        <v>2209512902.2199998</v>
      </c>
      <c r="F4" s="71">
        <v>1767610321779</v>
      </c>
      <c r="G4" s="41" t="s">
        <v>1237</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EEE55-3B1B-4FB8-9DF3-A09D80743099}">
  <dimension ref="C2:H150"/>
  <sheetViews>
    <sheetView workbookViewId="0">
      <selection activeCell="G10" sqref="G10"/>
    </sheetView>
  </sheetViews>
  <sheetFormatPr defaultColWidth="12.140625" defaultRowHeight="15.95"/>
  <cols>
    <col min="1" max="3" width="12.140625" style="39"/>
    <col min="4" max="4" width="36.140625" style="41" customWidth="1"/>
    <col min="5" max="5" width="24" style="39" customWidth="1"/>
    <col min="6" max="6" width="19.140625" style="41" customWidth="1"/>
    <col min="7" max="7" width="29.85546875" style="39" customWidth="1"/>
    <col min="8" max="8" width="24.85546875" style="41" customWidth="1"/>
    <col min="9" max="9" width="12.140625" style="39"/>
    <col min="10" max="10" width="15.28515625" style="39" bestFit="1" customWidth="1"/>
    <col min="11" max="16384" width="12.140625" style="39"/>
  </cols>
  <sheetData>
    <row r="2" spans="3:8" ht="17.100000000000001" thickBot="1"/>
    <row r="3" spans="3:8" ht="17.100000000000001" thickBot="1">
      <c r="C3" s="1302" t="s">
        <v>1238</v>
      </c>
      <c r="D3" s="1303"/>
      <c r="E3" s="1304"/>
      <c r="F3" s="72"/>
    </row>
    <row r="4" spans="3:8" ht="17.100000000000001">
      <c r="C4" s="73" t="s">
        <v>1181</v>
      </c>
      <c r="D4" s="74" t="s">
        <v>1182</v>
      </c>
      <c r="E4" s="75" t="s">
        <v>1183</v>
      </c>
      <c r="F4" s="76" t="s">
        <v>1235</v>
      </c>
    </row>
    <row r="5" spans="3:8" ht="33.950000000000003" customHeight="1">
      <c r="C5" s="1305">
        <v>1</v>
      </c>
      <c r="D5" s="1307" t="s">
        <v>1239</v>
      </c>
      <c r="E5" s="77" t="s">
        <v>1240</v>
      </c>
      <c r="F5" s="1309" t="s">
        <v>1241</v>
      </c>
      <c r="G5" s="93" t="str">
        <f>E5</f>
        <v>$21,890,647,912</v>
      </c>
    </row>
    <row r="6" spans="3:8">
      <c r="C6" s="1306"/>
      <c r="D6" s="1308"/>
      <c r="E6" s="78">
        <v>2193856324.54</v>
      </c>
      <c r="F6" s="1309"/>
      <c r="G6" s="93">
        <f>E6*1.175</f>
        <v>2577781181.3344998</v>
      </c>
    </row>
    <row r="7" spans="3:8">
      <c r="C7" s="1306"/>
      <c r="D7" s="1308"/>
      <c r="E7" s="79">
        <v>150000000000</v>
      </c>
      <c r="F7" s="1309"/>
      <c r="G7" s="92">
        <f>E7*0.1429</f>
        <v>21435000000</v>
      </c>
    </row>
    <row r="8" spans="3:8">
      <c r="C8" s="1306"/>
      <c r="D8" s="1308"/>
      <c r="E8" s="80">
        <v>65000000</v>
      </c>
      <c r="F8" s="1310"/>
      <c r="G8" s="92">
        <f>E8*1.175</f>
        <v>76375000</v>
      </c>
    </row>
    <row r="9" spans="3:8">
      <c r="C9" s="89"/>
      <c r="D9" s="85"/>
      <c r="E9" s="90"/>
      <c r="F9" s="91"/>
      <c r="G9" s="92">
        <f>SUM(G5:G8)</f>
        <v>24089156181.334499</v>
      </c>
    </row>
    <row r="10" spans="3:8" ht="102">
      <c r="C10" s="55">
        <v>2</v>
      </c>
      <c r="D10" s="53" t="s">
        <v>1242</v>
      </c>
      <c r="E10" s="81" t="s">
        <v>1243</v>
      </c>
      <c r="F10" s="53" t="s">
        <v>1244</v>
      </c>
    </row>
    <row r="11" spans="3:8" ht="102">
      <c r="C11" s="55">
        <v>3</v>
      </c>
      <c r="D11" s="53" t="s">
        <v>1245</v>
      </c>
      <c r="E11" s="82" t="s">
        <v>1246</v>
      </c>
      <c r="F11" s="53" t="s">
        <v>1244</v>
      </c>
    </row>
    <row r="16" spans="3:8">
      <c r="D16" s="39"/>
      <c r="F16" s="39"/>
      <c r="H16" s="39"/>
    </row>
    <row r="17" spans="3:8">
      <c r="D17" s="39"/>
      <c r="F17" s="39"/>
      <c r="H17" s="39"/>
    </row>
    <row r="18" spans="3:8">
      <c r="C18" s="83"/>
      <c r="D18" s="39"/>
      <c r="F18" s="39"/>
      <c r="H18" s="39"/>
    </row>
    <row r="19" spans="3:8">
      <c r="C19" s="83"/>
      <c r="D19" s="39"/>
      <c r="F19" s="39"/>
      <c r="H19" s="39"/>
    </row>
    <row r="20" spans="3:8">
      <c r="C20" s="58"/>
      <c r="D20" s="39"/>
      <c r="F20" s="39"/>
      <c r="H20" s="39"/>
    </row>
    <row r="21" spans="3:8">
      <c r="D21" s="39"/>
      <c r="F21" s="39"/>
      <c r="H21" s="39"/>
    </row>
    <row r="22" spans="3:8">
      <c r="D22" s="39"/>
      <c r="F22" s="39"/>
      <c r="H22" s="39"/>
    </row>
    <row r="23" spans="3:8">
      <c r="D23" s="39"/>
      <c r="F23" s="39"/>
      <c r="H23" s="39"/>
    </row>
    <row r="24" spans="3:8">
      <c r="D24" s="39"/>
      <c r="F24" s="39"/>
      <c r="H24" s="39"/>
    </row>
    <row r="25" spans="3:8">
      <c r="D25" s="39"/>
      <c r="F25" s="39"/>
      <c r="H25" s="39"/>
    </row>
    <row r="26" spans="3:8">
      <c r="D26" s="39"/>
      <c r="F26" s="39"/>
      <c r="H26" s="39"/>
    </row>
    <row r="27" spans="3:8">
      <c r="D27" s="39"/>
      <c r="F27" s="39"/>
      <c r="H27" s="39"/>
    </row>
    <row r="28" spans="3:8">
      <c r="D28" s="39"/>
      <c r="F28" s="39"/>
      <c r="H28" s="39"/>
    </row>
    <row r="29" spans="3:8">
      <c r="D29" s="39"/>
      <c r="F29" s="39"/>
      <c r="H29" s="39"/>
    </row>
    <row r="30" spans="3:8">
      <c r="D30" s="39"/>
      <c r="F30" s="39"/>
      <c r="H30" s="39"/>
    </row>
    <row r="31" spans="3:8">
      <c r="D31" s="39"/>
      <c r="F31" s="39"/>
      <c r="H31" s="39"/>
    </row>
    <row r="32" spans="3:8">
      <c r="D32" s="39"/>
      <c r="F32" s="39"/>
      <c r="H32" s="39"/>
    </row>
    <row r="33" spans="3:8">
      <c r="D33" s="39"/>
      <c r="F33" s="39"/>
      <c r="H33" s="39"/>
    </row>
    <row r="34" spans="3:8">
      <c r="D34" s="39"/>
      <c r="F34" s="39"/>
      <c r="H34" s="39"/>
    </row>
    <row r="35" spans="3:8">
      <c r="D35" s="39"/>
      <c r="F35" s="39"/>
      <c r="H35" s="39"/>
    </row>
    <row r="36" spans="3:8">
      <c r="D36" s="39"/>
      <c r="F36" s="39"/>
      <c r="H36" s="39"/>
    </row>
    <row r="37" spans="3:8">
      <c r="D37" s="39"/>
      <c r="F37" s="39"/>
      <c r="H37" s="39"/>
    </row>
    <row r="38" spans="3:8">
      <c r="D38" s="39"/>
      <c r="F38" s="39"/>
      <c r="H38" s="39"/>
    </row>
    <row r="39" spans="3:8">
      <c r="D39" s="39"/>
      <c r="F39" s="39"/>
      <c r="H39" s="39"/>
    </row>
    <row r="40" spans="3:8">
      <c r="D40" s="39"/>
      <c r="F40" s="39"/>
      <c r="H40" s="39"/>
    </row>
    <row r="41" spans="3:8">
      <c r="D41" s="39"/>
      <c r="F41" s="39"/>
      <c r="H41" s="39"/>
    </row>
    <row r="42" spans="3:8">
      <c r="D42" s="39"/>
      <c r="F42" s="39"/>
      <c r="H42" s="39"/>
    </row>
    <row r="43" spans="3:8">
      <c r="D43" s="39"/>
      <c r="F43" s="39"/>
      <c r="H43" s="39"/>
    </row>
    <row r="44" spans="3:8">
      <c r="D44" s="39"/>
      <c r="F44" s="39"/>
      <c r="H44" s="39"/>
    </row>
    <row r="45" spans="3:8">
      <c r="C45" s="83"/>
      <c r="D45" s="39"/>
      <c r="F45" s="39"/>
      <c r="H45" s="39"/>
    </row>
    <row r="46" spans="3:8">
      <c r="D46" s="39"/>
      <c r="F46" s="39"/>
      <c r="H46" s="39"/>
    </row>
    <row r="47" spans="3:8">
      <c r="D47" s="39"/>
      <c r="F47" s="39"/>
      <c r="H47" s="39"/>
    </row>
    <row r="48" spans="3:8">
      <c r="D48" s="39"/>
      <c r="F48" s="39"/>
      <c r="H48" s="39"/>
    </row>
    <row r="49" s="39" customFormat="1"/>
    <row r="50" s="39" customFormat="1"/>
    <row r="51" s="39" customFormat="1"/>
    <row r="52" s="39" customFormat="1"/>
    <row r="53" s="39" customFormat="1"/>
    <row r="54" s="39" customFormat="1"/>
    <row r="55" s="39" customFormat="1"/>
    <row r="56" s="39" customFormat="1"/>
    <row r="57" s="39" customFormat="1"/>
    <row r="58" s="39" customFormat="1"/>
    <row r="59" s="39" customFormat="1"/>
    <row r="60" s="39" customFormat="1"/>
    <row r="61" s="39" customFormat="1"/>
    <row r="62" s="39" customFormat="1"/>
    <row r="63" s="39" customFormat="1"/>
    <row r="64" s="39" customFormat="1"/>
    <row r="65" s="39" customFormat="1"/>
    <row r="66" s="39" customFormat="1"/>
    <row r="67" s="39" customFormat="1"/>
    <row r="68" s="39" customFormat="1"/>
    <row r="69" s="39" customFormat="1"/>
    <row r="70" s="39" customFormat="1"/>
    <row r="71" s="39" customFormat="1"/>
    <row r="72" s="39" customFormat="1"/>
    <row r="73" s="39" customFormat="1"/>
    <row r="74" s="39" customFormat="1"/>
    <row r="75" s="39" customFormat="1"/>
    <row r="76" s="39" customFormat="1"/>
    <row r="77" s="39" customFormat="1"/>
    <row r="78" s="39" customFormat="1"/>
    <row r="79" s="39" customFormat="1"/>
    <row r="80" s="39" customFormat="1"/>
    <row r="81" s="39" customFormat="1"/>
    <row r="82" s="39" customFormat="1"/>
    <row r="83" s="39" customFormat="1"/>
    <row r="84" s="39" customFormat="1"/>
    <row r="85" s="39" customFormat="1"/>
    <row r="86" s="39" customFormat="1"/>
    <row r="87" s="39" customFormat="1"/>
    <row r="88" s="39" customFormat="1"/>
    <row r="89" s="39" customFormat="1"/>
    <row r="90" s="39" customFormat="1"/>
    <row r="91" s="39" customFormat="1"/>
    <row r="92" s="39" customFormat="1"/>
    <row r="93" s="39" customFormat="1"/>
    <row r="94" s="39" customFormat="1"/>
    <row r="95" s="39" customFormat="1"/>
    <row r="96" s="39" customFormat="1"/>
    <row r="97" s="39" customFormat="1"/>
    <row r="98" s="39" customFormat="1"/>
    <row r="99" s="39" customFormat="1"/>
    <row r="100" s="39" customFormat="1"/>
    <row r="101" s="39" customFormat="1"/>
    <row r="102" s="39" customFormat="1"/>
    <row r="103" s="39" customFormat="1"/>
    <row r="104" s="39" customFormat="1"/>
    <row r="105" s="39" customFormat="1"/>
    <row r="106" s="39" customFormat="1"/>
    <row r="107" s="39" customFormat="1"/>
    <row r="108" s="39" customFormat="1"/>
    <row r="109" s="39" customFormat="1"/>
    <row r="110" s="39" customFormat="1"/>
    <row r="111" s="39" customFormat="1"/>
    <row r="112" s="39" customFormat="1"/>
    <row r="113" s="39" customFormat="1"/>
    <row r="114" s="39" customFormat="1"/>
    <row r="115" s="39" customFormat="1"/>
    <row r="116" s="39" customFormat="1"/>
    <row r="117" s="39" customFormat="1"/>
    <row r="118" s="39" customFormat="1"/>
    <row r="119" s="39" customFormat="1"/>
    <row r="120" s="39" customFormat="1"/>
    <row r="121" s="39" customFormat="1"/>
    <row r="122" s="39" customFormat="1"/>
    <row r="123" s="39" customFormat="1"/>
    <row r="124" s="39" customFormat="1"/>
    <row r="125" s="39" customFormat="1"/>
    <row r="126" s="39" customFormat="1"/>
    <row r="127" s="39" customFormat="1"/>
    <row r="128" s="39" customFormat="1"/>
    <row r="129" spans="4:8">
      <c r="D129" s="39"/>
      <c r="F129" s="39"/>
      <c r="H129" s="39"/>
    </row>
    <row r="130" spans="4:8">
      <c r="D130" s="39"/>
      <c r="F130" s="39"/>
      <c r="H130" s="39"/>
    </row>
    <row r="131" spans="4:8">
      <c r="D131" s="39"/>
      <c r="F131" s="39"/>
      <c r="H131" s="39"/>
    </row>
    <row r="132" spans="4:8">
      <c r="D132" s="39"/>
      <c r="F132" s="39"/>
      <c r="H132" s="39"/>
    </row>
    <row r="133" spans="4:8">
      <c r="D133" s="39"/>
      <c r="F133" s="39"/>
      <c r="H133" s="39"/>
    </row>
    <row r="134" spans="4:8">
      <c r="D134" s="39"/>
      <c r="F134" s="39"/>
      <c r="H134" s="39"/>
    </row>
    <row r="135" spans="4:8">
      <c r="D135" s="39"/>
      <c r="F135" s="39"/>
      <c r="H135" s="39"/>
    </row>
    <row r="136" spans="4:8">
      <c r="D136" s="39"/>
      <c r="F136" s="39"/>
      <c r="H136" s="39"/>
    </row>
    <row r="137" spans="4:8">
      <c r="D137" s="39"/>
      <c r="F137" s="39"/>
      <c r="H137" s="39"/>
    </row>
    <row r="138" spans="4:8">
      <c r="D138" s="39"/>
      <c r="F138" s="39"/>
      <c r="H138" s="39"/>
    </row>
    <row r="139" spans="4:8">
      <c r="D139" s="39"/>
      <c r="F139" s="39"/>
      <c r="H139" s="39"/>
    </row>
    <row r="140" spans="4:8">
      <c r="D140" s="39"/>
      <c r="F140" s="39"/>
      <c r="H140" s="39"/>
    </row>
    <row r="141" spans="4:8">
      <c r="D141" s="39"/>
      <c r="F141" s="39"/>
      <c r="H141" s="39"/>
    </row>
    <row r="142" spans="4:8">
      <c r="D142" s="39"/>
      <c r="F142" s="39"/>
      <c r="H142" s="39"/>
    </row>
    <row r="143" spans="4:8">
      <c r="D143" s="39"/>
      <c r="F143" s="39"/>
      <c r="H143" s="39"/>
    </row>
    <row r="144" spans="4:8">
      <c r="E144" s="84"/>
    </row>
    <row r="145" spans="5:5">
      <c r="E145" s="84"/>
    </row>
    <row r="146" spans="5:5">
      <c r="E146" s="84"/>
    </row>
    <row r="147" spans="5:5">
      <c r="E147" s="84"/>
    </row>
    <row r="148" spans="5:5">
      <c r="E148" s="84"/>
    </row>
    <row r="149" spans="5:5">
      <c r="E149" s="84"/>
    </row>
    <row r="150" spans="5:5">
      <c r="E150" s="84"/>
    </row>
  </sheetData>
  <mergeCells count="4">
    <mergeCell ref="C3:E3"/>
    <mergeCell ref="C5:C8"/>
    <mergeCell ref="D5:D8"/>
    <mergeCell ref="F5:F8"/>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E889D-A047-4109-9328-6189C533803B}">
  <dimension ref="A2:G17"/>
  <sheetViews>
    <sheetView showGridLines="0" zoomScaleNormal="100" workbookViewId="0">
      <selection activeCell="D18" sqref="D18"/>
    </sheetView>
  </sheetViews>
  <sheetFormatPr defaultColWidth="8.7109375" defaultRowHeight="15"/>
  <cols>
    <col min="1" max="1" width="4" style="21" customWidth="1"/>
    <col min="2" max="2" width="34" style="21" customWidth="1"/>
    <col min="3" max="5" width="15" style="21" customWidth="1"/>
    <col min="6" max="6" width="13" style="21" customWidth="1"/>
    <col min="7" max="7" width="16" style="21" customWidth="1"/>
    <col min="8" max="16384" width="8.7109375" style="21"/>
  </cols>
  <sheetData>
    <row r="2" spans="1:7" ht="18">
      <c r="B2" s="1288" t="s">
        <v>1247</v>
      </c>
      <c r="C2" s="1288"/>
      <c r="D2" s="1288"/>
      <c r="E2" s="1288"/>
      <c r="F2" s="1288"/>
      <c r="G2" s="1288"/>
    </row>
    <row r="3" spans="1:7">
      <c r="B3" s="1311" t="s">
        <v>1248</v>
      </c>
      <c r="C3" s="1311"/>
      <c r="D3" s="1311"/>
      <c r="E3" s="1311"/>
      <c r="F3" s="1311"/>
      <c r="G3" s="1311"/>
    </row>
    <row r="5" spans="1:7" ht="31.5" customHeight="1">
      <c r="A5" s="22"/>
      <c r="B5" s="22" t="s">
        <v>1118</v>
      </c>
      <c r="C5" s="23" t="s">
        <v>1249</v>
      </c>
      <c r="D5" s="23" t="s">
        <v>1250</v>
      </c>
      <c r="E5" s="23" t="s">
        <v>1251</v>
      </c>
      <c r="F5" s="23" t="s">
        <v>1252</v>
      </c>
      <c r="G5" s="23" t="s">
        <v>1253</v>
      </c>
    </row>
    <row r="6" spans="1:7">
      <c r="B6" s="24" t="s">
        <v>1123</v>
      </c>
      <c r="C6" s="25">
        <f>('[26]Source Data'!C7+'[26]Source Data'!D7)/('[26]Source Data'!$C$17+'[26]Source Data'!$D$17)</f>
        <v>197.7055882352941</v>
      </c>
      <c r="D6" s="25">
        <f>('[26]Source Data'!E7+'[26]Source Data'!F7+'[26]Source Data'!G7)/('[26]Source Data'!$E$17+'[26]Source Data'!$F$17+'[26]Source Data'!$G$17)</f>
        <v>450.90735483870969</v>
      </c>
      <c r="E6" s="26">
        <f t="shared" ref="E6:E15" si="0">D6-C6</f>
        <v>253.20176660341559</v>
      </c>
      <c r="F6" s="36">
        <f t="shared" ref="F6:F15" si="1">IF(C6=0,"",E6/C6)</f>
        <v>1.2807011115036069</v>
      </c>
      <c r="G6" s="25">
        <f t="shared" ref="G6:G15" si="2">E6*12</f>
        <v>3038.4211992409873</v>
      </c>
    </row>
    <row r="7" spans="1:7">
      <c r="B7" s="28" t="s">
        <v>21</v>
      </c>
      <c r="C7" s="29">
        <f>('[26]Source Data'!C8+'[26]Source Data'!D8)/('[26]Source Data'!$C$17+'[26]Source Data'!$D$17)</f>
        <v>179.09352941176471</v>
      </c>
      <c r="D7" s="29">
        <f>('[26]Source Data'!E8+'[26]Source Data'!F8+'[26]Source Data'!G8)/('[26]Source Data'!$E$17+'[26]Source Data'!$F$17+'[26]Source Data'!$G$17)</f>
        <v>474.97361290322584</v>
      </c>
      <c r="E7" s="30">
        <f t="shared" si="0"/>
        <v>295.88008349146116</v>
      </c>
      <c r="F7" s="37">
        <f t="shared" si="1"/>
        <v>1.6520981213742538</v>
      </c>
      <c r="G7" s="29">
        <f t="shared" si="2"/>
        <v>3550.561001897534</v>
      </c>
    </row>
    <row r="8" spans="1:7">
      <c r="B8" s="24" t="s">
        <v>1124</v>
      </c>
      <c r="C8" s="25">
        <f>('[26]Source Data'!C9+'[26]Source Data'!D9)/('[26]Source Data'!$C$17+'[26]Source Data'!$D$17)</f>
        <v>132.31658823529412</v>
      </c>
      <c r="D8" s="25">
        <f>('[26]Source Data'!E9+'[26]Source Data'!F9+'[26]Source Data'!G9)/('[26]Source Data'!$E$17+'[26]Source Data'!$F$17+'[26]Source Data'!$G$17)</f>
        <v>347.17654838709677</v>
      </c>
      <c r="E8" s="26">
        <f t="shared" si="0"/>
        <v>214.85996015180265</v>
      </c>
      <c r="F8" s="36">
        <f t="shared" si="1"/>
        <v>1.6238323782179482</v>
      </c>
      <c r="G8" s="25">
        <f t="shared" si="2"/>
        <v>2578.319521821632</v>
      </c>
    </row>
    <row r="9" spans="1:7">
      <c r="B9" s="28" t="s">
        <v>349</v>
      </c>
      <c r="C9" s="29">
        <f>('[26]Source Data'!C10+'[26]Source Data'!D10)/('[26]Source Data'!$C$17+'[26]Source Data'!$D$17)</f>
        <v>33.707588235294118</v>
      </c>
      <c r="D9" s="29">
        <f>('[26]Source Data'!E10+'[26]Source Data'!F10+'[26]Source Data'!G10)/('[26]Source Data'!$E$17+'[26]Source Data'!$F$17+'[26]Source Data'!$G$17)</f>
        <v>108.5246129032258</v>
      </c>
      <c r="E9" s="30">
        <f t="shared" si="0"/>
        <v>74.81702466793169</v>
      </c>
      <c r="F9" s="37">
        <f t="shared" si="1"/>
        <v>2.219589967270136</v>
      </c>
      <c r="G9" s="29">
        <f t="shared" si="2"/>
        <v>897.80429601518028</v>
      </c>
    </row>
    <row r="10" spans="1:7">
      <c r="B10" s="24" t="s">
        <v>1125</v>
      </c>
      <c r="C10" s="25">
        <f>('[26]Source Data'!C11+'[26]Source Data'!D11)/('[26]Source Data'!$C$17+'[26]Source Data'!$D$17)</f>
        <v>3.6078823529411768</v>
      </c>
      <c r="D10" s="25">
        <f>('[26]Source Data'!E11+'[26]Source Data'!F11+'[26]Source Data'!G11)/('[26]Source Data'!$E$17+'[26]Source Data'!$F$17+'[26]Source Data'!$G$17)</f>
        <v>7.7504838709677415</v>
      </c>
      <c r="E10" s="26">
        <f t="shared" si="0"/>
        <v>4.1426015180265647</v>
      </c>
      <c r="F10" s="36">
        <f t="shared" si="1"/>
        <v>1.1482085924030978</v>
      </c>
      <c r="G10" s="25">
        <f t="shared" si="2"/>
        <v>49.711218216318777</v>
      </c>
    </row>
    <row r="11" spans="1:7">
      <c r="B11" s="28" t="s">
        <v>1126</v>
      </c>
      <c r="C11" s="29">
        <f>('[26]Source Data'!C12+'[26]Source Data'!D12)/('[26]Source Data'!$C$17+'[26]Source Data'!$D$17)</f>
        <v>1.8039411764705884</v>
      </c>
      <c r="D11" s="29">
        <f>('[26]Source Data'!E12+'[26]Source Data'!F12+'[26]Source Data'!G12)/('[26]Source Data'!$E$17+'[26]Source Data'!$F$17+'[26]Source Data'!$G$17)</f>
        <v>3.879225806451613</v>
      </c>
      <c r="E11" s="30">
        <f t="shared" si="0"/>
        <v>2.0752846299810246</v>
      </c>
      <c r="F11" s="37">
        <f t="shared" si="1"/>
        <v>1.1504170186088438</v>
      </c>
      <c r="G11" s="29">
        <f t="shared" si="2"/>
        <v>24.903415559772295</v>
      </c>
    </row>
    <row r="12" spans="1:7">
      <c r="B12" s="24" t="s">
        <v>1127</v>
      </c>
      <c r="C12" s="25">
        <f>('[26]Source Data'!C13+'[26]Source Data'!D13)/('[26]Source Data'!$C$17+'[26]Source Data'!$D$17)</f>
        <v>6.0614117647058832</v>
      </c>
      <c r="D12" s="25">
        <f>('[26]Source Data'!E13+'[26]Source Data'!F13+'[26]Source Data'!G13)/('[26]Source Data'!$E$17+'[26]Source Data'!$F$17+'[26]Source Data'!$G$17)</f>
        <v>13.011580645161292</v>
      </c>
      <c r="E12" s="26">
        <f t="shared" si="0"/>
        <v>6.9501688804554087</v>
      </c>
      <c r="F12" s="36">
        <f t="shared" si="1"/>
        <v>1.146625431541302</v>
      </c>
      <c r="G12" s="25">
        <f t="shared" si="2"/>
        <v>83.402026565464908</v>
      </c>
    </row>
    <row r="13" spans="1:7">
      <c r="B13" s="28" t="s">
        <v>353</v>
      </c>
      <c r="C13" s="29">
        <f>('[26]Source Data'!C14+'[26]Source Data'!D14)/('[26]Source Data'!$C$17+'[26]Source Data'!$D$17)</f>
        <v>5.2305882352941175</v>
      </c>
      <c r="D13" s="29">
        <f>('[26]Source Data'!E14+'[26]Source Data'!F14+'[26]Source Data'!G14)/('[26]Source Data'!$E$17+'[26]Source Data'!$F$17+'[26]Source Data'!$G$17)</f>
        <v>13.113483870967743</v>
      </c>
      <c r="E13" s="30">
        <f t="shared" si="0"/>
        <v>7.8828956356736253</v>
      </c>
      <c r="F13" s="37">
        <f t="shared" si="1"/>
        <v>1.5070763136128165</v>
      </c>
      <c r="G13" s="29">
        <f t="shared" si="2"/>
        <v>94.594747628083496</v>
      </c>
    </row>
    <row r="14" spans="1:7">
      <c r="B14" s="32" t="s">
        <v>1254</v>
      </c>
      <c r="C14" s="33">
        <f>C7+C8</f>
        <v>311.41011764705883</v>
      </c>
      <c r="D14" s="33">
        <f>D7+D8</f>
        <v>822.15016129032256</v>
      </c>
      <c r="E14" s="33">
        <f t="shared" si="0"/>
        <v>510.74004364326373</v>
      </c>
      <c r="F14" s="38">
        <f t="shared" si="1"/>
        <v>1.6400881496795758</v>
      </c>
      <c r="G14" s="33">
        <f t="shared" si="2"/>
        <v>6128.8805237191646</v>
      </c>
    </row>
    <row r="15" spans="1:7">
      <c r="B15" s="32" t="s">
        <v>1255</v>
      </c>
      <c r="C15" s="33">
        <f>C7+C8+C9+C13</f>
        <v>350.34829411764707</v>
      </c>
      <c r="D15" s="33">
        <f>D7+D8+D9+D13</f>
        <v>943.78825806451619</v>
      </c>
      <c r="E15" s="33">
        <f t="shared" si="0"/>
        <v>593.43996394686906</v>
      </c>
      <c r="F15" s="38">
        <f t="shared" si="1"/>
        <v>1.693857152755514</v>
      </c>
      <c r="G15" s="33">
        <f t="shared" si="2"/>
        <v>7121.2795673624287</v>
      </c>
    </row>
    <row r="17" spans="2:7" ht="43.5" customHeight="1">
      <c r="B17" s="1290" t="s">
        <v>1256</v>
      </c>
      <c r="C17" s="1290"/>
      <c r="D17" s="1290"/>
      <c r="E17" s="1290"/>
      <c r="F17" s="1290"/>
      <c r="G17" s="1290"/>
    </row>
  </sheetData>
  <mergeCells count="3">
    <mergeCell ref="B2:G2"/>
    <mergeCell ref="B3:G3"/>
    <mergeCell ref="B17:G17"/>
  </mergeCells>
  <pageMargins left="0.75" right="0.75" top="1" bottom="1" header="0.511811023622047" footer="0.511811023622047"/>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EA7EFC0B984154BA2E4307D72184DEE" ma:contentTypeVersion="3" ma:contentTypeDescription="Create a new document." ma:contentTypeScope="" ma:versionID="bee97505b55fa5f908c621784af4af1a">
  <xsd:schema xmlns:xsd="http://www.w3.org/2001/XMLSchema" xmlns:xs="http://www.w3.org/2001/XMLSchema" xmlns:p="http://schemas.microsoft.com/office/2006/metadata/properties" xmlns:ns2="9835d6db-805c-49da-813c-0099d2d59ca5" targetNamespace="http://schemas.microsoft.com/office/2006/metadata/properties" ma:root="true" ma:fieldsID="8f34c3f575d258fa302cfe50aadcae7e" ns2:_="">
    <xsd:import namespace="9835d6db-805c-49da-813c-0099d2d59ca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35d6db-805c-49da-813c-0099d2d59c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D2CD03-A662-415D-BE37-270441979078}"/>
</file>

<file path=customXml/itemProps2.xml><?xml version="1.0" encoding="utf-8"?>
<ds:datastoreItem xmlns:ds="http://schemas.openxmlformats.org/officeDocument/2006/customXml" ds:itemID="{B8467200-B1AC-4332-B452-535689176E84}"/>
</file>

<file path=customXml/itemProps3.xml><?xml version="1.0" encoding="utf-8"?>
<ds:datastoreItem xmlns:ds="http://schemas.openxmlformats.org/officeDocument/2006/customXml" ds:itemID="{1AF42FAA-A0FE-42F3-9DA2-AB14427FED6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Oluseun Akinrinoye</dc:creator>
  <cp:keywords/>
  <dc:description/>
  <cp:lastModifiedBy/>
  <cp:revision/>
  <dcterms:created xsi:type="dcterms:W3CDTF">2026-07-26T17:44:23Z</dcterms:created>
  <dcterms:modified xsi:type="dcterms:W3CDTF">2026-08-17T17:05:04Z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0x010100BEA7EFC0B984154BA2E4307D72184DEE</vt:lpwstr>
  </property>
</Properties>
</file>